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\Desktop\"/>
    </mc:Choice>
  </mc:AlternateContent>
  <xr:revisionPtr revIDLastSave="0" documentId="8_{1BD37FCC-5126-4547-963F-7664FEBDB32B}" xr6:coauthVersionLast="43" xr6:coauthVersionMax="43" xr10:uidLastSave="{00000000-0000-0000-0000-000000000000}"/>
  <workbookProtection workbookAlgorithmName="SHA-512" workbookHashValue="yJXMFybYTbf0DYRvgwU8/uXCWDXvN/bj5VjhUBWmZVkkOxmbYEHyttL/lVdRiuyF0vJ8abbxhvCforOtABNwPg==" workbookSaltValue="P/ClTBpzH4wlpuHgoQbffQ==" workbookSpinCount="100000" lockStructure="1"/>
  <bookViews>
    <workbookView xWindow="31620" yWindow="0" windowWidth="24975" windowHeight="15255" xr2:uid="{3AB1B96E-2EAF-4B44-8F56-7D1C2667E482}"/>
  </bookViews>
  <sheets>
    <sheet name="Prevented Planting Tool" sheetId="1" r:id="rId1"/>
  </sheets>
  <calcPr calcId="191029" concurrentManualCount="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" i="1" l="1"/>
  <c r="O19" i="1" s="1"/>
  <c r="O26" i="1" l="1"/>
  <c r="C44" i="1"/>
  <c r="P26" i="1"/>
  <c r="P27" i="1" s="1"/>
  <c r="O27" i="1" l="1"/>
  <c r="E125" i="1"/>
  <c r="E124" i="1"/>
  <c r="E123" i="1"/>
  <c r="E122" i="1"/>
  <c r="E121" i="1"/>
  <c r="E120" i="1"/>
  <c r="E119" i="1"/>
  <c r="E118" i="1"/>
  <c r="E117" i="1"/>
  <c r="E116" i="1"/>
  <c r="E115" i="1"/>
  <c r="P23" i="1" s="1"/>
  <c r="P32" i="1" s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C110" i="1"/>
  <c r="C109" i="1"/>
  <c r="C108" i="1"/>
  <c r="C107" i="1"/>
  <c r="C106" i="1"/>
  <c r="C105" i="1"/>
  <c r="C104" i="1"/>
  <c r="C103" i="1"/>
  <c r="C102" i="1"/>
  <c r="C101" i="1"/>
  <c r="C100" i="1"/>
  <c r="O23" i="1" s="1"/>
  <c r="O32" i="1" s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E126" i="1" l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44" i="1"/>
  <c r="C111" i="1"/>
  <c r="C85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P30" i="1"/>
  <c r="P31" i="1" s="1"/>
  <c r="O30" i="1"/>
  <c r="O31" i="1" s="1"/>
  <c r="P14" i="1"/>
  <c r="P19" i="1" s="1"/>
  <c r="P50" i="1" l="1"/>
  <c r="O50" i="1"/>
  <c r="O33" i="1" l="1"/>
  <c r="O51" i="1" l="1"/>
  <c r="P33" i="1" l="1"/>
  <c r="P51" i="1" s="1"/>
</calcChain>
</file>

<file path=xl/sharedStrings.xml><?xml version="1.0" encoding="utf-8"?>
<sst xmlns="http://schemas.openxmlformats.org/spreadsheetml/2006/main" count="105" uniqueCount="76">
  <si>
    <t>Crop Insurance Plan</t>
  </si>
  <si>
    <t>Corn</t>
  </si>
  <si>
    <t>Soybeans</t>
  </si>
  <si>
    <t>Coverage Level</t>
  </si>
  <si>
    <t>Spring Crop Insurance Price</t>
  </si>
  <si>
    <t>Prevented Planting Coverage Factor</t>
  </si>
  <si>
    <t>Final Planting Date</t>
  </si>
  <si>
    <t>Prevented Planting Payment</t>
  </si>
  <si>
    <t>Revenue</t>
  </si>
  <si>
    <t>Expenses</t>
  </si>
  <si>
    <t>Crop Insurance Premium</t>
  </si>
  <si>
    <t>Revenue Protection</t>
  </si>
  <si>
    <t>Net Income ($/acre)</t>
  </si>
  <si>
    <t>Planting Date</t>
  </si>
  <si>
    <t>Basis</t>
  </si>
  <si>
    <t>Crop Insurance Payment</t>
  </si>
  <si>
    <t>Total Revenue ($/acre)</t>
  </si>
  <si>
    <t>Seed</t>
  </si>
  <si>
    <t>Drying</t>
  </si>
  <si>
    <t>Crop Insurance</t>
  </si>
  <si>
    <t>Combine</t>
  </si>
  <si>
    <t>Total Expenses ($/acre)</t>
  </si>
  <si>
    <t>April 20 - May 5</t>
  </si>
  <si>
    <t>May 5 - 15</t>
  </si>
  <si>
    <t>May 15 - 25</t>
  </si>
  <si>
    <t>May 25 - June 5</t>
  </si>
  <si>
    <t>June 5 - 15</t>
  </si>
  <si>
    <t xml:space="preserve">Plant Density </t>
  </si>
  <si>
    <t>Central Iowa</t>
  </si>
  <si>
    <t>Late April</t>
  </si>
  <si>
    <t>Early May</t>
  </si>
  <si>
    <t>Mid-May</t>
  </si>
  <si>
    <t>Early June</t>
  </si>
  <si>
    <t>Mid-June</t>
  </si>
  <si>
    <t>Early July</t>
  </si>
  <si>
    <t>Select</t>
  </si>
  <si>
    <t>Expenses (Variable)</t>
  </si>
  <si>
    <t>Preharvest Machinery</t>
  </si>
  <si>
    <t>Phosphate</t>
  </si>
  <si>
    <t>Potash</t>
  </si>
  <si>
    <t>Lime</t>
  </si>
  <si>
    <t>Herbicide</t>
  </si>
  <si>
    <t>Misc.</t>
  </si>
  <si>
    <t>Grain Cart</t>
  </si>
  <si>
    <t>Haul</t>
  </si>
  <si>
    <t>Handle (auger)</t>
  </si>
  <si>
    <t>Labor</t>
  </si>
  <si>
    <t>Nitrogen</t>
  </si>
  <si>
    <t>Coverage</t>
  </si>
  <si>
    <t>Soybean</t>
  </si>
  <si>
    <t>Yield %</t>
  </si>
  <si>
    <t>Percent of Potential Yield</t>
  </si>
  <si>
    <t>Projected Yield</t>
  </si>
  <si>
    <t>Projected Harvest Price</t>
  </si>
  <si>
    <t>Crop Production Revenue</t>
  </si>
  <si>
    <t>Assumptions:</t>
  </si>
  <si>
    <t>Preharvest machinery includes chisel plow (soybean only), apply N (corn only) tandem disk,</t>
  </si>
  <si>
    <t>Notes:</t>
  </si>
  <si>
    <t>Weed Control</t>
  </si>
  <si>
    <t>Crop Insurance Revenue Guarantee</t>
  </si>
  <si>
    <t>Projected Cash Price ($/bushel)</t>
  </si>
  <si>
    <t>Potential Yield (bushels/acre)</t>
  </si>
  <si>
    <t>APH yield (bushels/acre)</t>
  </si>
  <si>
    <t>https://crops.extension.iastate.edu/blog/mark-licht/delayed-planting-afflicted-northern-iowa</t>
  </si>
  <si>
    <t>Returns from Full Prevented Planting</t>
  </si>
  <si>
    <t>Select - Corn</t>
  </si>
  <si>
    <t>Select - Soybeans</t>
  </si>
  <si>
    <t>Returns from Late Period Planting Corn or Soybeans</t>
  </si>
  <si>
    <t xml:space="preserve">Consult your approved crop insurance agent and other trusted advisors when determining the best </t>
  </si>
  <si>
    <t>decision for your operation.</t>
  </si>
  <si>
    <t xml:space="preserve">This decision aid tool can be used to help inform decisions and may not fully depict your specific situation. </t>
  </si>
  <si>
    <t>Central Iowa was used as the location for determining percent of potential yield for the plant date.</t>
  </si>
  <si>
    <t>Corn was planted at a density of 30,000 plants/acre.</t>
  </si>
  <si>
    <t>Expenses were projected using ISU Extension's 2019 Estimated Costs of Crop Production in Iowa.</t>
  </si>
  <si>
    <t>Expenses shown does not include insecticide or fungicide costs.</t>
  </si>
  <si>
    <t>planting and spraying.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</si>
</sst>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m/d;@"/>
    <numFmt numFmtId="166" formatCode="[$-409]d\-m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60">
    <xf numFmtId="0" fontId="0" fillId="0" borderId="0" xfId="0"/>
    <xf numFmtId="0" fontId="2" fillId="2" borderId="0" xfId="0" applyFont="1" applyFill="1"/>
    <xf numFmtId="0" fontId="2" fillId="2" borderId="0" xfId="0" applyFont="1" applyFill="1" applyProtection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3" xfId="0" applyFont="1" applyFill="1" applyBorder="1"/>
    <xf numFmtId="0" fontId="2" fillId="2" borderId="0" xfId="0" applyFont="1" applyFill="1" applyBorder="1"/>
    <xf numFmtId="0" fontId="4" fillId="2" borderId="9" xfId="0" applyFont="1" applyFill="1" applyBorder="1" applyAlignment="1">
      <alignment horizontal="center"/>
    </xf>
    <xf numFmtId="9" fontId="5" fillId="2" borderId="10" xfId="3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8" fontId="2" fillId="2" borderId="10" xfId="2" applyNumberFormat="1" applyFont="1" applyFill="1" applyBorder="1" applyAlignment="1">
      <alignment horizontal="center"/>
    </xf>
    <xf numFmtId="0" fontId="2" fillId="2" borderId="10" xfId="1" applyNumberFormat="1" applyFont="1" applyFill="1" applyBorder="1" applyAlignment="1">
      <alignment horizontal="center"/>
    </xf>
    <xf numFmtId="16" fontId="2" fillId="2" borderId="10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7" fontId="5" fillId="2" borderId="10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/>
    <xf numFmtId="0" fontId="3" fillId="2" borderId="7" xfId="0" applyFont="1" applyFill="1" applyBorder="1"/>
    <xf numFmtId="7" fontId="6" fillId="2" borderId="11" xfId="0" applyNumberFormat="1" applyFont="1" applyFill="1" applyBorder="1" applyAlignment="1">
      <alignment horizontal="center"/>
    </xf>
    <xf numFmtId="165" fontId="5" fillId="2" borderId="10" xfId="0" applyNumberFormat="1" applyFont="1" applyFill="1" applyBorder="1" applyAlignment="1" applyProtection="1">
      <alignment horizontal="center"/>
      <protection locked="0"/>
    </xf>
    <xf numFmtId="8" fontId="2" fillId="2" borderId="10" xfId="0" applyNumberFormat="1" applyFont="1" applyFill="1" applyBorder="1" applyAlignment="1">
      <alignment horizontal="center"/>
    </xf>
    <xf numFmtId="9" fontId="2" fillId="2" borderId="10" xfId="3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8" fontId="5" fillId="2" borderId="10" xfId="2" applyNumberFormat="1" applyFont="1" applyFill="1" applyBorder="1" applyAlignment="1" applyProtection="1">
      <alignment horizontal="center"/>
      <protection locked="0"/>
    </xf>
    <xf numFmtId="8" fontId="3" fillId="2" borderId="10" xfId="2" applyNumberFormat="1" applyFont="1" applyFill="1" applyBorder="1" applyAlignment="1" applyProtection="1">
      <alignment horizontal="center"/>
      <protection locked="0"/>
    </xf>
    <xf numFmtId="8" fontId="2" fillId="2" borderId="10" xfId="0" quotePrefix="1" applyNumberFormat="1" applyFont="1" applyFill="1" applyBorder="1" applyAlignment="1">
      <alignment horizontal="center"/>
    </xf>
    <xf numFmtId="8" fontId="2" fillId="2" borderId="8" xfId="2" applyNumberFormat="1" applyFont="1" applyFill="1" applyBorder="1" applyAlignment="1">
      <alignment horizontal="center"/>
    </xf>
    <xf numFmtId="7" fontId="2" fillId="2" borderId="8" xfId="2" applyNumberFormat="1" applyFont="1" applyFill="1" applyBorder="1" applyAlignment="1">
      <alignment horizontal="center"/>
    </xf>
    <xf numFmtId="0" fontId="3" fillId="2" borderId="4" xfId="0" applyFont="1" applyFill="1" applyBorder="1"/>
    <xf numFmtId="0" fontId="3" fillId="2" borderId="5" xfId="0" applyFont="1" applyFill="1" applyBorder="1"/>
    <xf numFmtId="7" fontId="3" fillId="2" borderId="8" xfId="2" applyNumberFormat="1" applyFont="1" applyFill="1" applyBorder="1" applyAlignment="1">
      <alignment horizontal="center"/>
    </xf>
    <xf numFmtId="7" fontId="3" fillId="2" borderId="12" xfId="2" applyNumberFormat="1" applyFont="1" applyFill="1" applyBorder="1" applyAlignment="1">
      <alignment horizontal="center"/>
    </xf>
    <xf numFmtId="7" fontId="7" fillId="3" borderId="10" xfId="0" applyNumberFormat="1" applyFont="1" applyFill="1" applyBorder="1" applyAlignment="1">
      <alignment horizontal="center"/>
    </xf>
    <xf numFmtId="7" fontId="2" fillId="2" borderId="10" xfId="2" applyNumberFormat="1" applyFont="1" applyFill="1" applyBorder="1" applyAlignment="1">
      <alignment horizontal="center"/>
    </xf>
    <xf numFmtId="7" fontId="2" fillId="2" borderId="18" xfId="2" applyNumberFormat="1" applyFont="1" applyFill="1" applyBorder="1" applyAlignment="1">
      <alignment horizontal="center"/>
    </xf>
    <xf numFmtId="0" fontId="2" fillId="2" borderId="0" xfId="0" applyFont="1" applyFill="1" applyProtection="1">
      <protection hidden="1"/>
    </xf>
    <xf numFmtId="43" fontId="0" fillId="2" borderId="0" xfId="1" applyFont="1" applyFill="1" applyProtection="1">
      <protection hidden="1"/>
    </xf>
    <xf numFmtId="0" fontId="0" fillId="2" borderId="0" xfId="0" applyFill="1" applyProtection="1">
      <protection hidden="1"/>
    </xf>
    <xf numFmtId="9" fontId="0" fillId="2" borderId="0" xfId="3" applyFont="1" applyFill="1" applyProtection="1">
      <protection hidden="1"/>
    </xf>
    <xf numFmtId="164" fontId="0" fillId="2" borderId="0" xfId="1" applyNumberFormat="1" applyFont="1" applyFill="1" applyProtection="1">
      <protection hidden="1"/>
    </xf>
    <xf numFmtId="3" fontId="0" fillId="2" borderId="0" xfId="0" applyNumberFormat="1" applyFill="1" applyProtection="1">
      <protection hidden="1"/>
    </xf>
    <xf numFmtId="166" fontId="0" fillId="2" borderId="0" xfId="1" applyNumberFormat="1" applyFont="1" applyFill="1" applyProtection="1">
      <protection hidden="1"/>
    </xf>
    <xf numFmtId="9" fontId="0" fillId="2" borderId="0" xfId="0" applyNumberFormat="1" applyFill="1" applyProtection="1">
      <protection hidden="1"/>
    </xf>
    <xf numFmtId="0" fontId="8" fillId="0" borderId="0" xfId="4"/>
    <xf numFmtId="0" fontId="0" fillId="2" borderId="0" xfId="0" applyFill="1" applyBorder="1"/>
    <xf numFmtId="165" fontId="5" fillId="2" borderId="0" xfId="0" applyNumberFormat="1" applyFont="1" applyFill="1" applyBorder="1" applyAlignment="1" applyProtection="1">
      <alignment horizontal="center"/>
      <protection locked="0"/>
    </xf>
    <xf numFmtId="0" fontId="9" fillId="4" borderId="0" xfId="0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5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2" fillId="2" borderId="0" xfId="0" applyFont="1" applyFill="1"/>
    <xf numFmtId="0" fontId="2" fillId="2" borderId="2" xfId="0" applyFont="1" applyFill="1" applyBorder="1"/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523875</xdr:colOff>
      <xdr:row>0</xdr:row>
      <xdr:rowOff>161925</xdr:rowOff>
    </xdr:from>
    <xdr:to>
      <xdr:col>14</xdr:col>
      <xdr:colOff>228456</xdr:colOff>
      <xdr:row>3</xdr:row>
      <xdr:rowOff>85663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7AE7EA85-DC37-49D2-861F-4ABE70BE01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075" y="161925"/>
          <a:ext cx="1152381" cy="495238"/>
        </a:xfrm>
        <a:prstGeom prst="rect">
          <a:avLst/>
        </a:prstGeom>
        <a:ln>
          <a:noFill/>
        </a:ln>
        <a:effectLst>
          <a:softEdge rad="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rops.extension.iastate.edu/blog/mark-licht/delayed-planting-afflicted-northern-iowa" TargetMode="External"/><Relationship Id="rId2" Type="http://schemas.openxmlformats.org/officeDocument/2006/relationships/hyperlink" Target="https://crops.extension.iastate.edu/blog/mark-licht/delayed-planting-afflicted-northern-iowa" TargetMode="External"/><Relationship Id="rId1" Type="http://schemas.openxmlformats.org/officeDocument/2006/relationships/hyperlink" Target="https://crops.extension.iastate.edu/blog/mark-licht/delayed-planting-afflicted-northern-iowa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640DE-DD3A-4836-BBFA-B551E90CA1B1}">
  <dimension ref="A2:BR199"/>
  <sheetViews>
    <sheetView tabSelected="1" topLeftCell="I1" zoomScale="110" zoomScaleNormal="110" zoomScaleSheetLayoutView="100" workbookViewId="0">
      <selection activeCell="P9" sqref="P9"/>
    </sheetView>
  </sheetViews>
  <sheetFormatPr defaultRowHeight="15" x14ac:dyDescent="0.25"/>
  <cols>
    <col min="1" max="1" width="15.85546875" style="36" hidden="1" customWidth="1"/>
    <col min="2" max="7" width="9.140625" style="37" hidden="1" customWidth="1"/>
    <col min="8" max="8" width="9.140625" style="35" hidden="1" customWidth="1"/>
    <col min="9" max="9" width="9.140625" style="35" customWidth="1"/>
    <col min="10" max="12" width="9.140625" style="1"/>
    <col min="13" max="13" width="12.5703125" style="1" customWidth="1"/>
    <col min="14" max="14" width="9.140625" style="1"/>
    <col min="15" max="16" width="18.140625" style="4" customWidth="1"/>
    <col min="17" max="70" width="9.140625" style="5"/>
  </cols>
  <sheetData>
    <row r="2" spans="1:16" x14ac:dyDescent="0.25">
      <c r="M2" s="2"/>
      <c r="N2" s="2"/>
      <c r="O2" s="3"/>
    </row>
    <row r="3" spans="1:16" x14ac:dyDescent="0.25">
      <c r="M3" s="2"/>
      <c r="N3" s="2"/>
      <c r="O3" s="3"/>
    </row>
    <row r="4" spans="1:16" x14ac:dyDescent="0.25">
      <c r="M4" s="2"/>
      <c r="N4" s="2"/>
      <c r="O4" s="3"/>
    </row>
    <row r="5" spans="1:16" x14ac:dyDescent="0.25">
      <c r="J5" s="54" t="s">
        <v>64</v>
      </c>
      <c r="K5" s="55"/>
      <c r="L5" s="55"/>
      <c r="M5" s="55"/>
      <c r="N5" s="56"/>
      <c r="O5" s="49" t="s">
        <v>1</v>
      </c>
      <c r="P5" s="49" t="s">
        <v>2</v>
      </c>
    </row>
    <row r="6" spans="1:16" x14ac:dyDescent="0.25">
      <c r="J6" s="6"/>
      <c r="K6" s="7"/>
      <c r="L6" s="7"/>
      <c r="M6" s="7"/>
      <c r="N6" s="7"/>
      <c r="O6" s="50"/>
      <c r="P6" s="50"/>
    </row>
    <row r="7" spans="1:16" x14ac:dyDescent="0.25">
      <c r="J7" s="6"/>
      <c r="K7" s="7" t="s">
        <v>0</v>
      </c>
      <c r="L7" s="7"/>
      <c r="M7" s="7"/>
      <c r="N7" s="7"/>
      <c r="O7" s="8" t="s">
        <v>11</v>
      </c>
      <c r="P7" s="8" t="s">
        <v>11</v>
      </c>
    </row>
    <row r="8" spans="1:16" x14ac:dyDescent="0.25">
      <c r="A8" s="36" t="s">
        <v>35</v>
      </c>
      <c r="J8" s="6"/>
      <c r="K8" s="7" t="s">
        <v>3</v>
      </c>
      <c r="L8" s="7"/>
      <c r="M8" s="7"/>
      <c r="N8" s="7"/>
      <c r="O8" s="9" t="s">
        <v>35</v>
      </c>
      <c r="P8" s="9" t="s">
        <v>35</v>
      </c>
    </row>
    <row r="9" spans="1:16" x14ac:dyDescent="0.25">
      <c r="A9" s="38">
        <v>0.5</v>
      </c>
      <c r="J9" s="6"/>
      <c r="K9" s="7" t="s">
        <v>62</v>
      </c>
      <c r="L9" s="7"/>
      <c r="M9" s="7"/>
      <c r="N9" s="7"/>
      <c r="O9" s="10">
        <v>180</v>
      </c>
      <c r="P9" s="10">
        <v>50</v>
      </c>
    </row>
    <row r="10" spans="1:16" x14ac:dyDescent="0.25">
      <c r="A10" s="38">
        <v>0.55000000000000004</v>
      </c>
      <c r="J10" s="6"/>
      <c r="K10" s="7" t="s">
        <v>4</v>
      </c>
      <c r="L10" s="7"/>
      <c r="M10" s="7"/>
      <c r="N10" s="7"/>
      <c r="O10" s="11">
        <v>4</v>
      </c>
      <c r="P10" s="11">
        <v>9.5399999999999991</v>
      </c>
    </row>
    <row r="11" spans="1:16" x14ac:dyDescent="0.25">
      <c r="A11" s="38">
        <v>0.6</v>
      </c>
      <c r="J11" s="6"/>
      <c r="K11" s="7" t="s">
        <v>5</v>
      </c>
      <c r="L11" s="7"/>
      <c r="M11" s="7"/>
      <c r="N11" s="7"/>
      <c r="O11" s="12">
        <v>0.55000000000000004</v>
      </c>
      <c r="P11" s="12">
        <v>0.6</v>
      </c>
    </row>
    <row r="12" spans="1:16" x14ac:dyDescent="0.25">
      <c r="A12" s="38">
        <v>0.65</v>
      </c>
      <c r="J12" s="6"/>
      <c r="K12" s="7" t="s">
        <v>6</v>
      </c>
      <c r="L12" s="7"/>
      <c r="M12" s="7"/>
      <c r="N12" s="7"/>
      <c r="O12" s="13">
        <v>43616</v>
      </c>
      <c r="P12" s="13">
        <v>43631</v>
      </c>
    </row>
    <row r="13" spans="1:16" x14ac:dyDescent="0.25">
      <c r="A13" s="38">
        <v>0.7</v>
      </c>
      <c r="J13" s="6"/>
      <c r="K13" s="7" t="s">
        <v>8</v>
      </c>
      <c r="L13" s="7"/>
      <c r="M13" s="7"/>
      <c r="N13" s="7"/>
      <c r="O13" s="14"/>
      <c r="P13" s="14"/>
    </row>
    <row r="14" spans="1:16" x14ac:dyDescent="0.25">
      <c r="A14" s="38">
        <v>0.75</v>
      </c>
      <c r="J14" s="6"/>
      <c r="K14" s="7"/>
      <c r="L14" s="7" t="s">
        <v>7</v>
      </c>
      <c r="M14" s="7"/>
      <c r="N14" s="7"/>
      <c r="O14" s="33" t="str">
        <f>IFERROR(O11*O10*O9*O8,"")</f>
        <v/>
      </c>
      <c r="P14" s="34" t="str">
        <f>IFERROR(P11*P10*P9*P8,"")</f>
        <v/>
      </c>
    </row>
    <row r="15" spans="1:16" x14ac:dyDescent="0.25">
      <c r="A15" s="38">
        <v>0.8</v>
      </c>
      <c r="J15" s="6"/>
      <c r="K15" s="7" t="s">
        <v>9</v>
      </c>
      <c r="L15" s="7"/>
      <c r="M15" s="7"/>
      <c r="N15" s="7"/>
      <c r="O15" s="14"/>
      <c r="P15" s="14"/>
    </row>
    <row r="16" spans="1:16" x14ac:dyDescent="0.25">
      <c r="A16" s="38">
        <v>0.85</v>
      </c>
      <c r="J16" s="6"/>
      <c r="K16" s="7"/>
      <c r="L16" s="7" t="s">
        <v>58</v>
      </c>
      <c r="M16" s="7"/>
      <c r="N16" s="7"/>
      <c r="O16" s="15">
        <v>12</v>
      </c>
      <c r="P16" s="15">
        <v>12</v>
      </c>
    </row>
    <row r="17" spans="1:19" x14ac:dyDescent="0.25">
      <c r="A17" s="43" t="s">
        <v>63</v>
      </c>
      <c r="J17" s="6"/>
      <c r="K17" s="7"/>
      <c r="L17" s="7" t="s">
        <v>10</v>
      </c>
      <c r="M17" s="7"/>
      <c r="N17" s="7"/>
      <c r="O17" s="15">
        <v>9.5</v>
      </c>
      <c r="P17" s="15">
        <v>8.8000000000000007</v>
      </c>
      <c r="R17" s="45"/>
      <c r="S17" s="44"/>
    </row>
    <row r="18" spans="1:19" x14ac:dyDescent="0.25">
      <c r="A18" s="39" t="s">
        <v>35</v>
      </c>
      <c r="J18" s="6"/>
      <c r="K18" s="7"/>
      <c r="L18" s="7" t="s">
        <v>42</v>
      </c>
      <c r="M18" s="7"/>
      <c r="N18" s="7"/>
      <c r="O18" s="15">
        <v>10</v>
      </c>
      <c r="P18" s="15">
        <v>10</v>
      </c>
    </row>
    <row r="19" spans="1:19" ht="15.75" thickBot="1" x14ac:dyDescent="0.3">
      <c r="A19" s="39" t="s">
        <v>22</v>
      </c>
      <c r="B19" s="38">
        <v>1</v>
      </c>
      <c r="J19" s="16"/>
      <c r="K19" s="17" t="s">
        <v>12</v>
      </c>
      <c r="L19" s="17"/>
      <c r="M19" s="17"/>
      <c r="N19" s="17"/>
      <c r="O19" s="18" t="str">
        <f>IFERROR(O14-O16-O17-O18,"")</f>
        <v/>
      </c>
      <c r="P19" s="18" t="str">
        <f>IFERROR(P14-P17-P16-P18,"")</f>
        <v/>
      </c>
    </row>
    <row r="20" spans="1:19" ht="15.75" thickTop="1" x14ac:dyDescent="0.25">
      <c r="A20" s="39" t="s">
        <v>23</v>
      </c>
      <c r="B20" s="38">
        <v>0.96</v>
      </c>
      <c r="J20" s="51" t="s">
        <v>67</v>
      </c>
      <c r="K20" s="52"/>
      <c r="L20" s="52"/>
      <c r="M20" s="52"/>
      <c r="N20" s="53"/>
      <c r="O20" s="57" t="s">
        <v>1</v>
      </c>
      <c r="P20" s="57" t="s">
        <v>2</v>
      </c>
    </row>
    <row r="21" spans="1:19" x14ac:dyDescent="0.25">
      <c r="A21" s="39" t="s">
        <v>24</v>
      </c>
      <c r="B21" s="38">
        <v>0.87</v>
      </c>
      <c r="J21" s="6"/>
      <c r="K21" s="7"/>
      <c r="L21" s="7"/>
      <c r="M21" s="7"/>
      <c r="N21" s="7"/>
      <c r="O21" s="50"/>
      <c r="P21" s="50"/>
    </row>
    <row r="22" spans="1:19" x14ac:dyDescent="0.25">
      <c r="A22" s="39" t="s">
        <v>25</v>
      </c>
      <c r="B22" s="38">
        <v>0.7</v>
      </c>
      <c r="J22" s="6"/>
      <c r="K22" s="7" t="s">
        <v>13</v>
      </c>
      <c r="L22" s="7"/>
      <c r="M22" s="7"/>
      <c r="N22" s="7"/>
      <c r="O22" s="19" t="s">
        <v>65</v>
      </c>
      <c r="P22" s="19" t="s">
        <v>66</v>
      </c>
    </row>
    <row r="23" spans="1:19" x14ac:dyDescent="0.25">
      <c r="A23" s="39" t="s">
        <v>26</v>
      </c>
      <c r="B23" s="38">
        <v>0.54</v>
      </c>
      <c r="J23" s="6"/>
      <c r="K23" s="7" t="s">
        <v>59</v>
      </c>
      <c r="L23" s="7"/>
      <c r="M23" s="7"/>
      <c r="N23" s="7"/>
      <c r="O23" s="20" t="str">
        <f>IFERROR(VLOOKUP(O22,A:C,3,FALSE)*O9*MAX(O10,O28),"")</f>
        <v/>
      </c>
      <c r="P23" s="20" t="str">
        <f>IFERROR(VLOOKUP(P22,A:E,5,FALSE)*P9*MAX(P10,P28),"")</f>
        <v/>
      </c>
    </row>
    <row r="24" spans="1:19" x14ac:dyDescent="0.25">
      <c r="A24" s="39"/>
      <c r="J24" s="6"/>
      <c r="K24" s="7" t="s">
        <v>8</v>
      </c>
      <c r="L24" s="7"/>
      <c r="M24" s="7"/>
      <c r="N24" s="7"/>
      <c r="O24" s="14"/>
      <c r="P24" s="14"/>
    </row>
    <row r="25" spans="1:19" x14ac:dyDescent="0.25">
      <c r="A25" s="43" t="s">
        <v>63</v>
      </c>
      <c r="J25" s="6"/>
      <c r="K25" s="7"/>
      <c r="L25" s="7" t="s">
        <v>61</v>
      </c>
      <c r="M25" s="7"/>
      <c r="N25" s="7"/>
      <c r="O25" s="10">
        <v>198</v>
      </c>
      <c r="P25" s="10">
        <v>56</v>
      </c>
    </row>
    <row r="26" spans="1:19" x14ac:dyDescent="0.25">
      <c r="A26" s="39" t="s">
        <v>27</v>
      </c>
      <c r="B26" s="40">
        <v>30000</v>
      </c>
      <c r="C26" s="37" t="s">
        <v>1</v>
      </c>
      <c r="J26" s="6"/>
      <c r="K26" s="7"/>
      <c r="L26" s="7" t="s">
        <v>51</v>
      </c>
      <c r="M26" s="7"/>
      <c r="N26" s="7"/>
      <c r="O26" s="21" t="str">
        <f>IFERROR(VLOOKUP(O22,A:B,2,FALSE),"")</f>
        <v/>
      </c>
      <c r="P26" s="21" t="str">
        <f>IFERROR(VLOOKUP(P22,A:E,4,FALSE),"")</f>
        <v/>
      </c>
    </row>
    <row r="27" spans="1:19" x14ac:dyDescent="0.25">
      <c r="A27" s="39" t="s">
        <v>35</v>
      </c>
      <c r="B27" s="40" t="s">
        <v>50</v>
      </c>
      <c r="J27" s="6"/>
      <c r="K27" s="7"/>
      <c r="L27" s="7" t="s">
        <v>52</v>
      </c>
      <c r="M27" s="7"/>
      <c r="N27" s="7"/>
      <c r="O27" s="22" t="str">
        <f>IFERROR(O26*O25,"")</f>
        <v/>
      </c>
      <c r="P27" s="22" t="str">
        <f>IFERROR(P26*P25,"")</f>
        <v/>
      </c>
    </row>
    <row r="28" spans="1:19" x14ac:dyDescent="0.25">
      <c r="A28" s="39" t="s">
        <v>22</v>
      </c>
      <c r="B28" s="38">
        <v>0.99</v>
      </c>
      <c r="J28" s="6"/>
      <c r="K28" s="7"/>
      <c r="L28" s="7" t="s">
        <v>53</v>
      </c>
      <c r="M28" s="7"/>
      <c r="N28" s="7"/>
      <c r="O28" s="23">
        <v>3.73</v>
      </c>
      <c r="P28" s="23">
        <v>8.27</v>
      </c>
    </row>
    <row r="29" spans="1:19" x14ac:dyDescent="0.25">
      <c r="A29" s="39" t="s">
        <v>23</v>
      </c>
      <c r="B29" s="38">
        <v>0.95</v>
      </c>
      <c r="J29" s="6"/>
      <c r="K29" s="7"/>
      <c r="L29" s="7" t="s">
        <v>14</v>
      </c>
      <c r="M29" s="7"/>
      <c r="N29" s="7"/>
      <c r="O29" s="24">
        <v>-0.39</v>
      </c>
      <c r="P29" s="24">
        <v>-0.76</v>
      </c>
    </row>
    <row r="30" spans="1:19" x14ac:dyDescent="0.25">
      <c r="A30" s="39" t="s">
        <v>24</v>
      </c>
      <c r="B30" s="38">
        <v>0.86</v>
      </c>
      <c r="J30" s="6"/>
      <c r="K30" s="7"/>
      <c r="L30" s="7" t="s">
        <v>60</v>
      </c>
      <c r="M30" s="7"/>
      <c r="N30" s="7"/>
      <c r="O30" s="11">
        <f>O28+O29</f>
        <v>3.34</v>
      </c>
      <c r="P30" s="11">
        <f>P28+P29</f>
        <v>7.51</v>
      </c>
    </row>
    <row r="31" spans="1:19" x14ac:dyDescent="0.25">
      <c r="A31" s="39" t="s">
        <v>25</v>
      </c>
      <c r="B31" s="38">
        <v>0.69</v>
      </c>
      <c r="J31" s="6"/>
      <c r="K31" s="7"/>
      <c r="L31" s="7" t="s">
        <v>54</v>
      </c>
      <c r="M31" s="7"/>
      <c r="N31" s="7"/>
      <c r="O31" s="20" t="str">
        <f>IFERROR(O30*O27,"")</f>
        <v/>
      </c>
      <c r="P31" s="20" t="str">
        <f>IFERROR(P30*P27,"")</f>
        <v/>
      </c>
    </row>
    <row r="32" spans="1:19" x14ac:dyDescent="0.25">
      <c r="A32" s="39" t="s">
        <v>26</v>
      </c>
      <c r="B32" s="38">
        <v>0.53</v>
      </c>
      <c r="J32" s="6"/>
      <c r="K32" s="7"/>
      <c r="L32" s="7" t="s">
        <v>15</v>
      </c>
      <c r="M32" s="7"/>
      <c r="N32" s="7"/>
      <c r="O32" s="25" t="str">
        <f>IFERROR(MAX(0,O23-(O27*MAX(O28,O10))),"")</f>
        <v/>
      </c>
      <c r="P32" s="25" t="str">
        <f>IFERROR(MAX(0,P23-(P27*MAX(P28,P10))),"")</f>
        <v/>
      </c>
    </row>
    <row r="33" spans="1:16" x14ac:dyDescent="0.25">
      <c r="A33" s="43" t="s">
        <v>63</v>
      </c>
      <c r="J33" s="6"/>
      <c r="K33" s="7" t="s">
        <v>16</v>
      </c>
      <c r="L33" s="7"/>
      <c r="M33" s="7"/>
      <c r="N33" s="7"/>
      <c r="O33" s="26" t="str">
        <f>IF(O23="","",IF(O22="Select - Corn","",SUM(O31:O32)))</f>
        <v/>
      </c>
      <c r="P33" s="26" t="str">
        <f>IF(P23="","",IF(P22="select - soybeans","",SUM(P31:P32)))</f>
        <v/>
      </c>
    </row>
    <row r="34" spans="1:16" x14ac:dyDescent="0.25">
      <c r="A34" s="39" t="s">
        <v>28</v>
      </c>
      <c r="C34" s="37" t="s">
        <v>2</v>
      </c>
      <c r="J34" s="6"/>
      <c r="K34" s="7" t="s">
        <v>36</v>
      </c>
      <c r="L34" s="7"/>
      <c r="M34" s="7"/>
      <c r="N34" s="7"/>
      <c r="O34" s="14"/>
      <c r="P34" s="14"/>
    </row>
    <row r="35" spans="1:16" x14ac:dyDescent="0.25">
      <c r="A35" s="39" t="s">
        <v>35</v>
      </c>
      <c r="J35" s="6"/>
      <c r="K35" s="7"/>
      <c r="L35" s="7" t="s">
        <v>37</v>
      </c>
      <c r="M35" s="7"/>
      <c r="N35" s="7"/>
      <c r="O35" s="15">
        <v>17.3</v>
      </c>
      <c r="P35" s="15">
        <v>18.8</v>
      </c>
    </row>
    <row r="36" spans="1:16" x14ac:dyDescent="0.25">
      <c r="A36" s="39" t="s">
        <v>29</v>
      </c>
      <c r="B36" s="38">
        <v>0.96</v>
      </c>
      <c r="J36" s="6"/>
      <c r="K36" s="7"/>
      <c r="L36" s="7" t="s">
        <v>17</v>
      </c>
      <c r="M36" s="7"/>
      <c r="N36" s="7"/>
      <c r="O36" s="15">
        <v>95.8</v>
      </c>
      <c r="P36" s="15">
        <v>50.8</v>
      </c>
    </row>
    <row r="37" spans="1:16" x14ac:dyDescent="0.25">
      <c r="A37" s="39" t="s">
        <v>30</v>
      </c>
      <c r="B37" s="38">
        <v>1</v>
      </c>
      <c r="J37" s="6"/>
      <c r="K37" s="7"/>
      <c r="L37" s="7" t="s">
        <v>47</v>
      </c>
      <c r="M37" s="7"/>
      <c r="N37" s="7"/>
      <c r="O37" s="15">
        <v>49.78</v>
      </c>
      <c r="P37" s="32"/>
    </row>
    <row r="38" spans="1:16" x14ac:dyDescent="0.25">
      <c r="A38" s="39" t="s">
        <v>31</v>
      </c>
      <c r="B38" s="38">
        <v>0.96</v>
      </c>
      <c r="J38" s="6"/>
      <c r="K38" s="7"/>
      <c r="L38" s="7" t="s">
        <v>38</v>
      </c>
      <c r="M38" s="7"/>
      <c r="N38" s="7"/>
      <c r="O38" s="15">
        <v>31.08</v>
      </c>
      <c r="P38" s="15">
        <v>18.899999999999999</v>
      </c>
    </row>
    <row r="39" spans="1:16" x14ac:dyDescent="0.25">
      <c r="A39" s="39" t="s">
        <v>32</v>
      </c>
      <c r="B39" s="38">
        <v>0.93</v>
      </c>
      <c r="J39" s="6"/>
      <c r="K39" s="7"/>
      <c r="L39" s="7" t="s">
        <v>39</v>
      </c>
      <c r="M39" s="7"/>
      <c r="N39" s="7"/>
      <c r="O39" s="15">
        <v>18.29</v>
      </c>
      <c r="P39" s="15">
        <v>26.04</v>
      </c>
    </row>
    <row r="40" spans="1:16" x14ac:dyDescent="0.25">
      <c r="A40" s="39" t="s">
        <v>33</v>
      </c>
      <c r="B40" s="38">
        <v>0.59</v>
      </c>
      <c r="J40" s="6"/>
      <c r="K40" s="7"/>
      <c r="L40" s="7" t="s">
        <v>40</v>
      </c>
      <c r="M40" s="7"/>
      <c r="N40" s="7"/>
      <c r="O40" s="15">
        <v>5.71</v>
      </c>
      <c r="P40" s="15">
        <v>5.71</v>
      </c>
    </row>
    <row r="41" spans="1:16" x14ac:dyDescent="0.25">
      <c r="A41" s="39" t="s">
        <v>34</v>
      </c>
      <c r="B41" s="38">
        <v>0.45</v>
      </c>
      <c r="J41" s="6"/>
      <c r="K41" s="7"/>
      <c r="L41" s="7" t="s">
        <v>41</v>
      </c>
      <c r="M41" s="7"/>
      <c r="N41" s="7"/>
      <c r="O41" s="15">
        <v>48.36</v>
      </c>
      <c r="P41" s="15">
        <v>55.57</v>
      </c>
    </row>
    <row r="42" spans="1:16" x14ac:dyDescent="0.25">
      <c r="A42" s="39"/>
      <c r="B42" s="37" t="s">
        <v>1</v>
      </c>
      <c r="C42" s="37" t="s">
        <v>1</v>
      </c>
      <c r="D42" s="37" t="s">
        <v>49</v>
      </c>
      <c r="E42" s="37" t="s">
        <v>49</v>
      </c>
      <c r="J42" s="6"/>
      <c r="K42" s="7"/>
      <c r="L42" s="7" t="s">
        <v>19</v>
      </c>
      <c r="M42" s="7"/>
      <c r="N42" s="7"/>
      <c r="O42" s="15">
        <v>9.5</v>
      </c>
      <c r="P42" s="15">
        <v>8.8000000000000007</v>
      </c>
    </row>
    <row r="43" spans="1:16" x14ac:dyDescent="0.25">
      <c r="A43" s="39" t="s">
        <v>35</v>
      </c>
      <c r="B43" s="37" t="s">
        <v>50</v>
      </c>
      <c r="C43" s="37" t="s">
        <v>48</v>
      </c>
      <c r="D43" s="37" t="s">
        <v>50</v>
      </c>
      <c r="E43" s="37" t="s">
        <v>48</v>
      </c>
      <c r="J43" s="6"/>
      <c r="K43" s="7"/>
      <c r="L43" s="7" t="s">
        <v>42</v>
      </c>
      <c r="M43" s="7"/>
      <c r="N43" s="7"/>
      <c r="O43" s="15">
        <v>10</v>
      </c>
      <c r="P43" s="15">
        <v>10</v>
      </c>
    </row>
    <row r="44" spans="1:16" x14ac:dyDescent="0.25">
      <c r="A44" s="41">
        <v>43575</v>
      </c>
      <c r="B44" s="37">
        <v>0.99</v>
      </c>
      <c r="C44" s="42" t="str">
        <f>$O$8</f>
        <v>Select</v>
      </c>
      <c r="D44" s="37">
        <v>0.96</v>
      </c>
      <c r="E44" s="42" t="str">
        <f t="shared" ref="E44:E75" si="0">$P$8</f>
        <v>Select</v>
      </c>
      <c r="J44" s="6"/>
      <c r="K44" s="7"/>
      <c r="L44" s="7" t="s">
        <v>20</v>
      </c>
      <c r="M44" s="7"/>
      <c r="N44" s="7"/>
      <c r="O44" s="15">
        <v>6.7</v>
      </c>
      <c r="P44" s="15">
        <v>4.0999999999999996</v>
      </c>
    </row>
    <row r="45" spans="1:16" x14ac:dyDescent="0.25">
      <c r="A45" s="41">
        <v>43576</v>
      </c>
      <c r="B45" s="37">
        <v>0.99</v>
      </c>
      <c r="C45" s="42" t="str">
        <f t="shared" ref="C45:C85" si="1">$O$8</f>
        <v>Select</v>
      </c>
      <c r="D45" s="37">
        <v>0.96</v>
      </c>
      <c r="E45" s="42" t="str">
        <f t="shared" si="0"/>
        <v>Select</v>
      </c>
      <c r="J45" s="6"/>
      <c r="K45" s="7"/>
      <c r="L45" s="7" t="s">
        <v>43</v>
      </c>
      <c r="M45" s="7"/>
      <c r="N45" s="7"/>
      <c r="O45" s="15">
        <v>3</v>
      </c>
      <c r="P45" s="15">
        <v>3</v>
      </c>
    </row>
    <row r="46" spans="1:16" x14ac:dyDescent="0.25">
      <c r="A46" s="41">
        <v>43577</v>
      </c>
      <c r="B46" s="37">
        <v>0.99</v>
      </c>
      <c r="C46" s="42" t="str">
        <f t="shared" si="1"/>
        <v>Select</v>
      </c>
      <c r="D46" s="37">
        <v>0.96</v>
      </c>
      <c r="E46" s="42" t="str">
        <f t="shared" si="0"/>
        <v>Select</v>
      </c>
      <c r="J46" s="6"/>
      <c r="K46" s="7"/>
      <c r="L46" s="7" t="s">
        <v>44</v>
      </c>
      <c r="M46" s="7"/>
      <c r="N46" s="7"/>
      <c r="O46" s="15">
        <v>7.47</v>
      </c>
      <c r="P46" s="15">
        <v>2.11</v>
      </c>
    </row>
    <row r="47" spans="1:16" x14ac:dyDescent="0.25">
      <c r="A47" s="41">
        <v>43578</v>
      </c>
      <c r="B47" s="37">
        <v>0.99</v>
      </c>
      <c r="C47" s="42" t="str">
        <f t="shared" si="1"/>
        <v>Select</v>
      </c>
      <c r="D47" s="37">
        <v>0.96</v>
      </c>
      <c r="E47" s="42" t="str">
        <f t="shared" si="0"/>
        <v>Select</v>
      </c>
      <c r="J47" s="6"/>
      <c r="K47" s="7"/>
      <c r="L47" s="7" t="s">
        <v>18</v>
      </c>
      <c r="M47" s="7"/>
      <c r="N47" s="7"/>
      <c r="O47" s="15">
        <v>32.79</v>
      </c>
      <c r="P47" s="32"/>
    </row>
    <row r="48" spans="1:16" x14ac:dyDescent="0.25">
      <c r="A48" s="41">
        <v>43579</v>
      </c>
      <c r="B48" s="37">
        <v>0.99</v>
      </c>
      <c r="C48" s="42" t="str">
        <f t="shared" si="1"/>
        <v>Select</v>
      </c>
      <c r="D48" s="37">
        <v>0.96</v>
      </c>
      <c r="E48" s="42" t="str">
        <f t="shared" si="0"/>
        <v>Select</v>
      </c>
      <c r="J48" s="6"/>
      <c r="K48" s="7"/>
      <c r="L48" s="7" t="s">
        <v>45</v>
      </c>
      <c r="M48" s="7"/>
      <c r="N48" s="7"/>
      <c r="O48" s="15">
        <v>3.83</v>
      </c>
      <c r="P48" s="15">
        <v>1.08</v>
      </c>
    </row>
    <row r="49" spans="1:16" x14ac:dyDescent="0.25">
      <c r="A49" s="41">
        <v>43580</v>
      </c>
      <c r="B49" s="37">
        <v>0.99</v>
      </c>
      <c r="C49" s="42" t="str">
        <f t="shared" si="1"/>
        <v>Select</v>
      </c>
      <c r="D49" s="37">
        <v>0.96</v>
      </c>
      <c r="E49" s="42" t="str">
        <f t="shared" si="0"/>
        <v>Select</v>
      </c>
      <c r="J49" s="6"/>
      <c r="K49" s="7"/>
      <c r="L49" s="7" t="s">
        <v>46</v>
      </c>
      <c r="M49" s="7"/>
      <c r="N49" s="7"/>
      <c r="O49" s="15">
        <v>36.340000000000003</v>
      </c>
      <c r="P49" s="15">
        <v>31.35</v>
      </c>
    </row>
    <row r="50" spans="1:16" x14ac:dyDescent="0.25">
      <c r="A50" s="41">
        <v>43581</v>
      </c>
      <c r="B50" s="37">
        <v>0.99</v>
      </c>
      <c r="C50" s="42" t="str">
        <f t="shared" si="1"/>
        <v>Select</v>
      </c>
      <c r="D50" s="37">
        <v>0.96</v>
      </c>
      <c r="E50" s="42" t="str">
        <f t="shared" si="0"/>
        <v>Select</v>
      </c>
      <c r="J50" s="6"/>
      <c r="K50" s="7" t="s">
        <v>21</v>
      </c>
      <c r="L50" s="7"/>
      <c r="M50" s="7"/>
      <c r="N50" s="7"/>
      <c r="O50" s="27">
        <f>SUM(O35:O49)</f>
        <v>375.95000000000005</v>
      </c>
      <c r="P50" s="27">
        <f>SUM(P35:P49)</f>
        <v>236.26000000000002</v>
      </c>
    </row>
    <row r="51" spans="1:16" x14ac:dyDescent="0.25">
      <c r="A51" s="41">
        <v>43582</v>
      </c>
      <c r="B51" s="37">
        <v>0.99</v>
      </c>
      <c r="C51" s="42" t="str">
        <f t="shared" si="1"/>
        <v>Select</v>
      </c>
      <c r="D51" s="37">
        <v>0.96</v>
      </c>
      <c r="E51" s="42" t="str">
        <f t="shared" si="0"/>
        <v>Select</v>
      </c>
      <c r="J51" s="28"/>
      <c r="K51" s="29" t="s">
        <v>12</v>
      </c>
      <c r="L51" s="29"/>
      <c r="M51" s="29"/>
      <c r="N51" s="29"/>
      <c r="O51" s="30" t="str">
        <f>IFERROR(O33-O50,"")</f>
        <v/>
      </c>
      <c r="P51" s="31" t="str">
        <f>IFERROR(P33-P50,"")</f>
        <v/>
      </c>
    </row>
    <row r="52" spans="1:16" x14ac:dyDescent="0.25">
      <c r="A52" s="41">
        <v>43583</v>
      </c>
      <c r="B52" s="37">
        <v>0.99</v>
      </c>
      <c r="C52" s="42" t="str">
        <f t="shared" si="1"/>
        <v>Select</v>
      </c>
      <c r="D52" s="37">
        <v>0.96</v>
      </c>
      <c r="E52" s="42" t="str">
        <f t="shared" si="0"/>
        <v>Select</v>
      </c>
      <c r="J52" s="59" t="s">
        <v>57</v>
      </c>
      <c r="K52" s="59"/>
      <c r="L52" s="59"/>
      <c r="M52" s="59"/>
      <c r="N52" s="59"/>
      <c r="O52" s="59"/>
      <c r="P52" s="59"/>
    </row>
    <row r="53" spans="1:16" x14ac:dyDescent="0.25">
      <c r="A53" s="41">
        <v>43584</v>
      </c>
      <c r="B53" s="37">
        <v>0.99</v>
      </c>
      <c r="C53" s="42" t="str">
        <f t="shared" si="1"/>
        <v>Select</v>
      </c>
      <c r="D53" s="37">
        <v>0.96</v>
      </c>
      <c r="E53" s="42" t="str">
        <f t="shared" si="0"/>
        <v>Select</v>
      </c>
      <c r="J53" s="48" t="s">
        <v>70</v>
      </c>
      <c r="K53" s="48"/>
      <c r="L53" s="48"/>
      <c r="M53" s="48"/>
      <c r="N53" s="48"/>
      <c r="O53" s="48"/>
      <c r="P53" s="48"/>
    </row>
    <row r="54" spans="1:16" x14ac:dyDescent="0.25">
      <c r="A54" s="41">
        <v>43585</v>
      </c>
      <c r="B54" s="37">
        <v>0.99</v>
      </c>
      <c r="C54" s="42" t="str">
        <f t="shared" si="1"/>
        <v>Select</v>
      </c>
      <c r="D54" s="37">
        <v>0.96</v>
      </c>
      <c r="E54" s="42" t="str">
        <f t="shared" si="0"/>
        <v>Select</v>
      </c>
      <c r="J54" s="48" t="s">
        <v>68</v>
      </c>
      <c r="K54" s="48"/>
      <c r="L54" s="48"/>
      <c r="M54" s="48"/>
      <c r="N54" s="48"/>
      <c r="O54" s="48"/>
      <c r="P54" s="48"/>
    </row>
    <row r="55" spans="1:16" x14ac:dyDescent="0.25">
      <c r="A55" s="41">
        <v>43586</v>
      </c>
      <c r="B55" s="37">
        <v>0.99</v>
      </c>
      <c r="C55" s="42" t="str">
        <f t="shared" si="1"/>
        <v>Select</v>
      </c>
      <c r="D55" s="37">
        <v>1</v>
      </c>
      <c r="E55" s="42" t="str">
        <f t="shared" si="0"/>
        <v>Select</v>
      </c>
      <c r="J55" s="58" t="s">
        <v>69</v>
      </c>
      <c r="K55" s="58"/>
      <c r="L55" s="58"/>
      <c r="M55" s="58"/>
      <c r="N55" s="58"/>
      <c r="O55" s="58"/>
      <c r="P55" s="58"/>
    </row>
    <row r="56" spans="1:16" x14ac:dyDescent="0.25">
      <c r="A56" s="41">
        <v>43587</v>
      </c>
      <c r="B56" s="37">
        <v>0.99</v>
      </c>
      <c r="C56" s="42" t="str">
        <f t="shared" si="1"/>
        <v>Select</v>
      </c>
      <c r="D56" s="37">
        <v>1</v>
      </c>
      <c r="E56" s="42" t="str">
        <f t="shared" si="0"/>
        <v>Select</v>
      </c>
      <c r="J56" s="58"/>
      <c r="K56" s="58"/>
      <c r="L56" s="58"/>
      <c r="M56" s="58"/>
      <c r="N56" s="58"/>
      <c r="O56" s="58"/>
      <c r="P56" s="58"/>
    </row>
    <row r="57" spans="1:16" x14ac:dyDescent="0.25">
      <c r="A57" s="41">
        <v>43588</v>
      </c>
      <c r="B57" s="37">
        <v>0.99</v>
      </c>
      <c r="C57" s="42" t="str">
        <f t="shared" si="1"/>
        <v>Select</v>
      </c>
      <c r="D57" s="37">
        <v>1</v>
      </c>
      <c r="E57" s="42" t="str">
        <f t="shared" si="0"/>
        <v>Select</v>
      </c>
      <c r="J57" s="58" t="s">
        <v>55</v>
      </c>
      <c r="K57" s="58"/>
      <c r="L57" s="58"/>
      <c r="M57" s="58"/>
      <c r="N57" s="58"/>
      <c r="O57" s="58"/>
      <c r="P57" s="58"/>
    </row>
    <row r="58" spans="1:16" x14ac:dyDescent="0.25">
      <c r="A58" s="41">
        <v>43589</v>
      </c>
      <c r="B58" s="37">
        <v>0.99</v>
      </c>
      <c r="C58" s="42" t="str">
        <f t="shared" si="1"/>
        <v>Select</v>
      </c>
      <c r="D58" s="37">
        <v>1</v>
      </c>
      <c r="E58" s="42" t="str">
        <f t="shared" si="0"/>
        <v>Select</v>
      </c>
      <c r="J58" s="58" t="s">
        <v>71</v>
      </c>
      <c r="K58" s="58"/>
      <c r="L58" s="58"/>
      <c r="M58" s="58"/>
      <c r="N58" s="58"/>
      <c r="O58" s="58"/>
      <c r="P58" s="58"/>
    </row>
    <row r="59" spans="1:16" x14ac:dyDescent="0.25">
      <c r="A59" s="41">
        <v>43590</v>
      </c>
      <c r="B59" s="37">
        <v>0.99</v>
      </c>
      <c r="C59" s="42" t="str">
        <f t="shared" si="1"/>
        <v>Select</v>
      </c>
      <c r="D59" s="37">
        <v>1</v>
      </c>
      <c r="E59" s="42" t="str">
        <f t="shared" si="0"/>
        <v>Select</v>
      </c>
      <c r="J59" s="58" t="s">
        <v>72</v>
      </c>
      <c r="K59" s="58"/>
      <c r="L59" s="58"/>
      <c r="M59" s="58"/>
      <c r="N59" s="58"/>
      <c r="O59" s="58"/>
      <c r="P59" s="58"/>
    </row>
    <row r="60" spans="1:16" x14ac:dyDescent="0.25">
      <c r="A60" s="41">
        <v>43591</v>
      </c>
      <c r="B60" s="37">
        <v>0.95</v>
      </c>
      <c r="C60" s="42" t="str">
        <f t="shared" si="1"/>
        <v>Select</v>
      </c>
      <c r="D60" s="37">
        <v>1</v>
      </c>
      <c r="E60" s="42" t="str">
        <f t="shared" si="0"/>
        <v>Select</v>
      </c>
      <c r="J60" s="58" t="s">
        <v>73</v>
      </c>
      <c r="K60" s="58"/>
      <c r="L60" s="58"/>
      <c r="M60" s="58"/>
      <c r="N60" s="58"/>
      <c r="O60" s="58"/>
      <c r="P60" s="58"/>
    </row>
    <row r="61" spans="1:16" x14ac:dyDescent="0.25">
      <c r="A61" s="41">
        <v>43592</v>
      </c>
      <c r="B61" s="37">
        <v>0.95</v>
      </c>
      <c r="C61" s="42" t="str">
        <f t="shared" si="1"/>
        <v>Select</v>
      </c>
      <c r="D61" s="37">
        <v>1</v>
      </c>
      <c r="E61" s="42" t="str">
        <f t="shared" si="0"/>
        <v>Select</v>
      </c>
      <c r="J61" s="58" t="s">
        <v>74</v>
      </c>
      <c r="K61" s="58"/>
      <c r="L61" s="58"/>
      <c r="M61" s="58"/>
      <c r="N61" s="58"/>
      <c r="O61" s="58"/>
      <c r="P61" s="58"/>
    </row>
    <row r="62" spans="1:16" x14ac:dyDescent="0.25">
      <c r="A62" s="41">
        <v>43593</v>
      </c>
      <c r="B62" s="37">
        <v>0.95</v>
      </c>
      <c r="C62" s="42" t="str">
        <f t="shared" si="1"/>
        <v>Select</v>
      </c>
      <c r="D62" s="37">
        <v>1</v>
      </c>
      <c r="E62" s="42" t="str">
        <f t="shared" si="0"/>
        <v>Select</v>
      </c>
      <c r="J62" s="58" t="s">
        <v>56</v>
      </c>
      <c r="K62" s="58"/>
      <c r="L62" s="58"/>
      <c r="M62" s="58"/>
      <c r="N62" s="58"/>
      <c r="O62" s="58"/>
      <c r="P62" s="58"/>
    </row>
    <row r="63" spans="1:16" x14ac:dyDescent="0.25">
      <c r="A63" s="41">
        <v>43594</v>
      </c>
      <c r="B63" s="37">
        <v>0.95</v>
      </c>
      <c r="C63" s="42" t="str">
        <f t="shared" si="1"/>
        <v>Select</v>
      </c>
      <c r="D63" s="37">
        <v>1</v>
      </c>
      <c r="E63" s="42" t="str">
        <f t="shared" si="0"/>
        <v>Select</v>
      </c>
      <c r="J63" s="58" t="s">
        <v>75</v>
      </c>
      <c r="K63" s="58"/>
      <c r="L63" s="58"/>
      <c r="M63" s="58"/>
      <c r="N63" s="58"/>
      <c r="O63" s="58"/>
      <c r="P63" s="58"/>
    </row>
    <row r="64" spans="1:16" x14ac:dyDescent="0.25">
      <c r="A64" s="41">
        <v>43595</v>
      </c>
      <c r="B64" s="37">
        <v>0.95</v>
      </c>
      <c r="C64" s="42" t="str">
        <f t="shared" si="1"/>
        <v>Select</v>
      </c>
      <c r="D64" s="37">
        <v>1</v>
      </c>
      <c r="E64" s="42" t="str">
        <f t="shared" si="0"/>
        <v>Select</v>
      </c>
    </row>
    <row r="65" spans="1:15" x14ac:dyDescent="0.25">
      <c r="A65" s="41">
        <v>43596</v>
      </c>
      <c r="B65" s="37">
        <v>0.95</v>
      </c>
      <c r="C65" s="42" t="str">
        <f t="shared" si="1"/>
        <v>Select</v>
      </c>
      <c r="D65" s="37">
        <v>0.96</v>
      </c>
      <c r="E65" s="42" t="str">
        <f t="shared" si="0"/>
        <v>Select</v>
      </c>
    </row>
    <row r="66" spans="1:15" x14ac:dyDescent="0.25">
      <c r="A66" s="41">
        <v>43597</v>
      </c>
      <c r="B66" s="37">
        <v>0.95</v>
      </c>
      <c r="C66" s="42" t="str">
        <f t="shared" si="1"/>
        <v>Select</v>
      </c>
      <c r="D66" s="37">
        <v>0.96</v>
      </c>
      <c r="E66" s="42" t="str">
        <f t="shared" si="0"/>
        <v>Select</v>
      </c>
    </row>
    <row r="67" spans="1:15" x14ac:dyDescent="0.25">
      <c r="A67" s="41">
        <v>43598</v>
      </c>
      <c r="B67" s="37">
        <v>0.95</v>
      </c>
      <c r="C67" s="42" t="str">
        <f t="shared" si="1"/>
        <v>Select</v>
      </c>
      <c r="D67" s="37">
        <v>0.96</v>
      </c>
      <c r="E67" s="42" t="str">
        <f t="shared" si="0"/>
        <v>Select</v>
      </c>
      <c r="J67" s="46"/>
    </row>
    <row r="68" spans="1:15" x14ac:dyDescent="0.25">
      <c r="A68" s="41">
        <v>43599</v>
      </c>
      <c r="B68" s="37">
        <v>0.95</v>
      </c>
      <c r="C68" s="42" t="str">
        <f t="shared" si="1"/>
        <v>Select</v>
      </c>
      <c r="D68" s="37">
        <v>0.96</v>
      </c>
      <c r="E68" s="42" t="str">
        <f t="shared" si="0"/>
        <v>Select</v>
      </c>
      <c r="J68" s="48"/>
      <c r="K68" s="48"/>
      <c r="L68" s="48"/>
      <c r="M68" s="48"/>
      <c r="N68" s="48"/>
      <c r="O68" s="48"/>
    </row>
    <row r="69" spans="1:15" x14ac:dyDescent="0.25">
      <c r="A69" s="41">
        <v>43600</v>
      </c>
      <c r="B69" s="37">
        <v>0.95</v>
      </c>
      <c r="C69" s="42" t="str">
        <f t="shared" si="1"/>
        <v>Select</v>
      </c>
      <c r="D69" s="37">
        <v>0.96</v>
      </c>
      <c r="E69" s="42" t="str">
        <f t="shared" si="0"/>
        <v>Select</v>
      </c>
      <c r="J69" s="48"/>
      <c r="K69" s="48"/>
      <c r="L69" s="48"/>
      <c r="M69" s="46"/>
      <c r="N69" s="47"/>
      <c r="O69" s="47"/>
    </row>
    <row r="70" spans="1:15" x14ac:dyDescent="0.25">
      <c r="A70" s="41">
        <v>43601</v>
      </c>
      <c r="B70" s="37">
        <v>0.86</v>
      </c>
      <c r="C70" s="42" t="str">
        <f t="shared" si="1"/>
        <v>Select</v>
      </c>
      <c r="D70" s="37">
        <v>0.96</v>
      </c>
      <c r="E70" s="42" t="str">
        <f t="shared" si="0"/>
        <v>Select</v>
      </c>
      <c r="J70" s="48"/>
      <c r="K70" s="48"/>
      <c r="L70" s="48"/>
      <c r="M70" s="48"/>
      <c r="N70" s="48"/>
      <c r="O70" s="48"/>
    </row>
    <row r="71" spans="1:15" x14ac:dyDescent="0.25">
      <c r="A71" s="41">
        <v>43602</v>
      </c>
      <c r="B71" s="37">
        <v>0.86</v>
      </c>
      <c r="C71" s="42" t="str">
        <f t="shared" si="1"/>
        <v>Select</v>
      </c>
      <c r="D71" s="37">
        <v>0.96</v>
      </c>
      <c r="E71" s="42" t="str">
        <f t="shared" si="0"/>
        <v>Select</v>
      </c>
      <c r="J71" s="48"/>
      <c r="K71" s="48"/>
      <c r="L71" s="48"/>
      <c r="M71" s="48"/>
      <c r="N71" s="47"/>
      <c r="O71" s="47"/>
    </row>
    <row r="72" spans="1:15" x14ac:dyDescent="0.25">
      <c r="A72" s="41">
        <v>43603</v>
      </c>
      <c r="B72" s="37">
        <v>0.86</v>
      </c>
      <c r="C72" s="42" t="str">
        <f t="shared" si="1"/>
        <v>Select</v>
      </c>
      <c r="D72" s="37">
        <v>0.96</v>
      </c>
      <c r="E72" s="42" t="str">
        <f t="shared" si="0"/>
        <v>Select</v>
      </c>
      <c r="J72" s="48"/>
      <c r="K72" s="48"/>
      <c r="L72" s="48"/>
      <c r="M72" s="48"/>
      <c r="N72" s="48"/>
      <c r="O72" s="48"/>
    </row>
    <row r="73" spans="1:15" x14ac:dyDescent="0.25">
      <c r="A73" s="41">
        <v>43604</v>
      </c>
      <c r="B73" s="37">
        <v>0.86</v>
      </c>
      <c r="C73" s="42" t="str">
        <f t="shared" si="1"/>
        <v>Select</v>
      </c>
      <c r="D73" s="37">
        <v>0.96</v>
      </c>
      <c r="E73" s="42" t="str">
        <f t="shared" si="0"/>
        <v>Select</v>
      </c>
      <c r="J73" s="46"/>
      <c r="K73" s="46"/>
      <c r="L73" s="46"/>
      <c r="M73" s="46"/>
      <c r="N73" s="47"/>
      <c r="O73" s="47"/>
    </row>
    <row r="74" spans="1:15" x14ac:dyDescent="0.25">
      <c r="A74" s="41">
        <v>43605</v>
      </c>
      <c r="B74" s="37">
        <v>0.86</v>
      </c>
      <c r="C74" s="42" t="str">
        <f t="shared" si="1"/>
        <v>Select</v>
      </c>
      <c r="D74" s="37">
        <v>0.96</v>
      </c>
      <c r="E74" s="42" t="str">
        <f t="shared" si="0"/>
        <v>Select</v>
      </c>
    </row>
    <row r="75" spans="1:15" x14ac:dyDescent="0.25">
      <c r="A75" s="41">
        <v>43606</v>
      </c>
      <c r="B75" s="37">
        <v>0.86</v>
      </c>
      <c r="C75" s="42" t="str">
        <f t="shared" si="1"/>
        <v>Select</v>
      </c>
      <c r="D75" s="37">
        <v>0.96</v>
      </c>
      <c r="E75" s="42" t="str">
        <f t="shared" si="0"/>
        <v>Select</v>
      </c>
    </row>
    <row r="76" spans="1:15" x14ac:dyDescent="0.25">
      <c r="A76" s="41">
        <v>43607</v>
      </c>
      <c r="B76" s="37">
        <v>0.86</v>
      </c>
      <c r="C76" s="42" t="str">
        <f t="shared" si="1"/>
        <v>Select</v>
      </c>
      <c r="D76" s="37">
        <v>0.96</v>
      </c>
      <c r="E76" s="42" t="str">
        <f t="shared" ref="E76:E99" si="2">$P$8</f>
        <v>Select</v>
      </c>
    </row>
    <row r="77" spans="1:15" x14ac:dyDescent="0.25">
      <c r="A77" s="41">
        <v>43608</v>
      </c>
      <c r="B77" s="37">
        <v>0.86</v>
      </c>
      <c r="C77" s="42" t="str">
        <f t="shared" si="1"/>
        <v>Select</v>
      </c>
      <c r="D77" s="37">
        <v>0.96</v>
      </c>
      <c r="E77" s="42" t="str">
        <f t="shared" si="2"/>
        <v>Select</v>
      </c>
    </row>
    <row r="78" spans="1:15" x14ac:dyDescent="0.25">
      <c r="A78" s="41">
        <v>43609</v>
      </c>
      <c r="B78" s="37">
        <v>0.86</v>
      </c>
      <c r="C78" s="42" t="str">
        <f t="shared" si="1"/>
        <v>Select</v>
      </c>
      <c r="D78" s="37">
        <v>0.96</v>
      </c>
      <c r="E78" s="42" t="str">
        <f t="shared" si="2"/>
        <v>Select</v>
      </c>
    </row>
    <row r="79" spans="1:15" x14ac:dyDescent="0.25">
      <c r="A79" s="41">
        <v>43610</v>
      </c>
      <c r="B79" s="37">
        <v>0.86</v>
      </c>
      <c r="C79" s="42" t="str">
        <f t="shared" si="1"/>
        <v>Select</v>
      </c>
      <c r="D79" s="37">
        <v>0.96</v>
      </c>
      <c r="E79" s="42" t="str">
        <f t="shared" si="2"/>
        <v>Select</v>
      </c>
    </row>
    <row r="80" spans="1:15" x14ac:dyDescent="0.25">
      <c r="A80" s="41">
        <v>43611</v>
      </c>
      <c r="B80" s="37">
        <v>0.69</v>
      </c>
      <c r="C80" s="42" t="str">
        <f t="shared" si="1"/>
        <v>Select</v>
      </c>
      <c r="D80" s="37">
        <v>0.93</v>
      </c>
      <c r="E80" s="42" t="str">
        <f t="shared" si="2"/>
        <v>Select</v>
      </c>
    </row>
    <row r="81" spans="1:5" x14ac:dyDescent="0.25">
      <c r="A81" s="41">
        <v>43612</v>
      </c>
      <c r="B81" s="37">
        <v>0.69</v>
      </c>
      <c r="C81" s="42" t="str">
        <f t="shared" si="1"/>
        <v>Select</v>
      </c>
      <c r="D81" s="37">
        <v>0.93</v>
      </c>
      <c r="E81" s="42" t="str">
        <f t="shared" si="2"/>
        <v>Select</v>
      </c>
    </row>
    <row r="82" spans="1:5" x14ac:dyDescent="0.25">
      <c r="A82" s="41">
        <v>43613</v>
      </c>
      <c r="B82" s="37">
        <v>0.69</v>
      </c>
      <c r="C82" s="42" t="str">
        <f t="shared" si="1"/>
        <v>Select</v>
      </c>
      <c r="D82" s="37">
        <v>0.93</v>
      </c>
      <c r="E82" s="42" t="str">
        <f t="shared" si="2"/>
        <v>Select</v>
      </c>
    </row>
    <row r="83" spans="1:5" x14ac:dyDescent="0.25">
      <c r="A83" s="41">
        <v>43614</v>
      </c>
      <c r="B83" s="37">
        <v>0.69</v>
      </c>
      <c r="C83" s="42" t="str">
        <f t="shared" si="1"/>
        <v>Select</v>
      </c>
      <c r="D83" s="37">
        <v>0.93</v>
      </c>
      <c r="E83" s="42" t="str">
        <f t="shared" si="2"/>
        <v>Select</v>
      </c>
    </row>
    <row r="84" spans="1:5" x14ac:dyDescent="0.25">
      <c r="A84" s="41">
        <v>43615</v>
      </c>
      <c r="B84" s="37">
        <v>0.69</v>
      </c>
      <c r="C84" s="42" t="str">
        <f t="shared" si="1"/>
        <v>Select</v>
      </c>
      <c r="D84" s="37">
        <v>0.93</v>
      </c>
      <c r="E84" s="42" t="str">
        <f t="shared" si="2"/>
        <v>Select</v>
      </c>
    </row>
    <row r="85" spans="1:5" x14ac:dyDescent="0.25">
      <c r="A85" s="41">
        <v>43616</v>
      </c>
      <c r="B85" s="37">
        <v>0.69</v>
      </c>
      <c r="C85" s="42" t="str">
        <f t="shared" si="1"/>
        <v>Select</v>
      </c>
      <c r="D85" s="37">
        <v>0.93</v>
      </c>
      <c r="E85" s="42" t="str">
        <f t="shared" si="2"/>
        <v>Select</v>
      </c>
    </row>
    <row r="86" spans="1:5" x14ac:dyDescent="0.25">
      <c r="A86" s="41">
        <v>43617</v>
      </c>
      <c r="B86" s="37">
        <v>0.69</v>
      </c>
      <c r="C86" s="42" t="e">
        <f>$O$8*0.99</f>
        <v>#VALUE!</v>
      </c>
      <c r="D86" s="37">
        <v>0.93</v>
      </c>
      <c r="E86" s="42" t="str">
        <f t="shared" si="2"/>
        <v>Select</v>
      </c>
    </row>
    <row r="87" spans="1:5" x14ac:dyDescent="0.25">
      <c r="A87" s="41">
        <v>43618</v>
      </c>
      <c r="B87" s="37">
        <v>0.69</v>
      </c>
      <c r="C87" s="42" t="e">
        <f>$O$8*0.98</f>
        <v>#VALUE!</v>
      </c>
      <c r="D87" s="37">
        <v>0.93</v>
      </c>
      <c r="E87" s="42" t="str">
        <f t="shared" si="2"/>
        <v>Select</v>
      </c>
    </row>
    <row r="88" spans="1:5" x14ac:dyDescent="0.25">
      <c r="A88" s="41">
        <v>43619</v>
      </c>
      <c r="B88" s="37">
        <v>0.69</v>
      </c>
      <c r="C88" s="42" t="e">
        <f>$O$8*0.97</f>
        <v>#VALUE!</v>
      </c>
      <c r="D88" s="37">
        <v>0.93</v>
      </c>
      <c r="E88" s="42" t="str">
        <f t="shared" si="2"/>
        <v>Select</v>
      </c>
    </row>
    <row r="89" spans="1:5" x14ac:dyDescent="0.25">
      <c r="A89" s="41">
        <v>43620</v>
      </c>
      <c r="B89" s="37">
        <v>0.69</v>
      </c>
      <c r="C89" s="42" t="e">
        <f>$O$8*0.96</f>
        <v>#VALUE!</v>
      </c>
      <c r="D89" s="37">
        <v>0.93</v>
      </c>
      <c r="E89" s="42" t="str">
        <f t="shared" si="2"/>
        <v>Select</v>
      </c>
    </row>
    <row r="90" spans="1:5" x14ac:dyDescent="0.25">
      <c r="A90" s="41">
        <v>43621</v>
      </c>
      <c r="B90" s="37">
        <v>0.69</v>
      </c>
      <c r="C90" s="42" t="e">
        <f>$O$8*0.95</f>
        <v>#VALUE!</v>
      </c>
      <c r="D90" s="37">
        <v>0.93</v>
      </c>
      <c r="E90" s="42" t="str">
        <f t="shared" si="2"/>
        <v>Select</v>
      </c>
    </row>
    <row r="91" spans="1:5" x14ac:dyDescent="0.25">
      <c r="A91" s="41">
        <v>43622</v>
      </c>
      <c r="B91" s="37">
        <v>0.53</v>
      </c>
      <c r="C91" s="42" t="e">
        <f>$O$8*0.94</f>
        <v>#VALUE!</v>
      </c>
      <c r="D91" s="37">
        <v>0.93</v>
      </c>
      <c r="E91" s="42" t="str">
        <f t="shared" si="2"/>
        <v>Select</v>
      </c>
    </row>
    <row r="92" spans="1:5" x14ac:dyDescent="0.25">
      <c r="A92" s="41">
        <v>43623</v>
      </c>
      <c r="B92" s="37">
        <v>0.53</v>
      </c>
      <c r="C92" s="42" t="e">
        <f>$O$8*0.93</f>
        <v>#VALUE!</v>
      </c>
      <c r="D92" s="37">
        <v>0.93</v>
      </c>
      <c r="E92" s="42" t="str">
        <f t="shared" si="2"/>
        <v>Select</v>
      </c>
    </row>
    <row r="93" spans="1:5" x14ac:dyDescent="0.25">
      <c r="A93" s="41">
        <v>43624</v>
      </c>
      <c r="B93" s="37">
        <v>0.53</v>
      </c>
      <c r="C93" s="42" t="e">
        <f>$O$8*0.92</f>
        <v>#VALUE!</v>
      </c>
      <c r="D93" s="37">
        <v>0.93</v>
      </c>
      <c r="E93" s="42" t="str">
        <f t="shared" si="2"/>
        <v>Select</v>
      </c>
    </row>
    <row r="94" spans="1:5" x14ac:dyDescent="0.25">
      <c r="A94" s="41">
        <v>43625</v>
      </c>
      <c r="B94" s="37">
        <v>0.53</v>
      </c>
      <c r="C94" s="42" t="e">
        <f>$O$8*0.91</f>
        <v>#VALUE!</v>
      </c>
      <c r="D94" s="37">
        <v>0.93</v>
      </c>
      <c r="E94" s="42" t="str">
        <f t="shared" si="2"/>
        <v>Select</v>
      </c>
    </row>
    <row r="95" spans="1:5" x14ac:dyDescent="0.25">
      <c r="A95" s="41">
        <v>43626</v>
      </c>
      <c r="B95" s="37">
        <v>0.53</v>
      </c>
      <c r="C95" s="42" t="e">
        <f>$O$8*0.9</f>
        <v>#VALUE!</v>
      </c>
      <c r="D95" s="37">
        <v>0.93</v>
      </c>
      <c r="E95" s="42" t="str">
        <f t="shared" si="2"/>
        <v>Select</v>
      </c>
    </row>
    <row r="96" spans="1:5" x14ac:dyDescent="0.25">
      <c r="A96" s="41">
        <v>43627</v>
      </c>
      <c r="B96" s="37">
        <v>0.53</v>
      </c>
      <c r="C96" s="42" t="e">
        <f>$O$8*0.89</f>
        <v>#VALUE!</v>
      </c>
      <c r="D96" s="37">
        <v>0.59</v>
      </c>
      <c r="E96" s="42" t="str">
        <f t="shared" si="2"/>
        <v>Select</v>
      </c>
    </row>
    <row r="97" spans="1:5" x14ac:dyDescent="0.25">
      <c r="A97" s="41">
        <v>43628</v>
      </c>
      <c r="B97" s="37">
        <v>0.53</v>
      </c>
      <c r="C97" s="42" t="e">
        <f>$O$8*0.88</f>
        <v>#VALUE!</v>
      </c>
      <c r="D97" s="37">
        <v>0.59</v>
      </c>
      <c r="E97" s="42" t="str">
        <f t="shared" si="2"/>
        <v>Select</v>
      </c>
    </row>
    <row r="98" spans="1:5" x14ac:dyDescent="0.25">
      <c r="A98" s="41">
        <v>43629</v>
      </c>
      <c r="B98" s="37">
        <v>0.53</v>
      </c>
      <c r="C98" s="42" t="e">
        <f>$O$8*0.87</f>
        <v>#VALUE!</v>
      </c>
      <c r="D98" s="37">
        <v>0.59</v>
      </c>
      <c r="E98" s="42" t="str">
        <f t="shared" si="2"/>
        <v>Select</v>
      </c>
    </row>
    <row r="99" spans="1:5" x14ac:dyDescent="0.25">
      <c r="A99" s="41">
        <v>43630</v>
      </c>
      <c r="B99" s="37">
        <v>0.53</v>
      </c>
      <c r="C99" s="42" t="e">
        <f>$O$8*0.86</f>
        <v>#VALUE!</v>
      </c>
      <c r="D99" s="37">
        <v>0.59</v>
      </c>
      <c r="E99" s="42" t="str">
        <f t="shared" si="2"/>
        <v>Select</v>
      </c>
    </row>
    <row r="100" spans="1:5" x14ac:dyDescent="0.25">
      <c r="A100" s="41">
        <v>43631</v>
      </c>
      <c r="B100" s="37">
        <v>0.53</v>
      </c>
      <c r="C100" s="42" t="e">
        <f>$O$8*0.85</f>
        <v>#VALUE!</v>
      </c>
      <c r="D100" s="37">
        <v>0.59</v>
      </c>
      <c r="E100" s="42" t="str">
        <f>$P$8</f>
        <v>Select</v>
      </c>
    </row>
    <row r="101" spans="1:5" x14ac:dyDescent="0.25">
      <c r="A101" s="41">
        <v>43632</v>
      </c>
      <c r="B101" s="37">
        <v>0.53</v>
      </c>
      <c r="C101" s="42" t="e">
        <f>$O$8*0.84</f>
        <v>#VALUE!</v>
      </c>
      <c r="D101" s="37">
        <v>0.59</v>
      </c>
      <c r="E101" s="42" t="e">
        <f>$P$8*0.99</f>
        <v>#VALUE!</v>
      </c>
    </row>
    <row r="102" spans="1:5" x14ac:dyDescent="0.25">
      <c r="A102" s="41">
        <v>43633</v>
      </c>
      <c r="B102" s="37">
        <v>0.53</v>
      </c>
      <c r="C102" s="42" t="e">
        <f>$O$8*0.83</f>
        <v>#VALUE!</v>
      </c>
      <c r="D102" s="37">
        <v>0.59</v>
      </c>
      <c r="E102" s="42" t="e">
        <f>$P$8*0.98</f>
        <v>#VALUE!</v>
      </c>
    </row>
    <row r="103" spans="1:5" x14ac:dyDescent="0.25">
      <c r="A103" s="41">
        <v>43634</v>
      </c>
      <c r="B103" s="37">
        <v>0.53</v>
      </c>
      <c r="C103" s="42" t="e">
        <f>$O$8*0.82</f>
        <v>#VALUE!</v>
      </c>
      <c r="D103" s="37">
        <v>0.59</v>
      </c>
      <c r="E103" s="42" t="e">
        <f>$P$8*0.97</f>
        <v>#VALUE!</v>
      </c>
    </row>
    <row r="104" spans="1:5" x14ac:dyDescent="0.25">
      <c r="A104" s="41">
        <v>43635</v>
      </c>
      <c r="B104" s="37">
        <v>0.53</v>
      </c>
      <c r="C104" s="42" t="e">
        <f>$O$8*0.81</f>
        <v>#VALUE!</v>
      </c>
      <c r="D104" s="37">
        <v>0.59</v>
      </c>
      <c r="E104" s="42" t="e">
        <f>$P$8*0.96</f>
        <v>#VALUE!</v>
      </c>
    </row>
    <row r="105" spans="1:5" x14ac:dyDescent="0.25">
      <c r="A105" s="41">
        <v>43636</v>
      </c>
      <c r="B105" s="37">
        <v>0.53</v>
      </c>
      <c r="C105" s="42" t="e">
        <f>$O$8*0.8</f>
        <v>#VALUE!</v>
      </c>
      <c r="D105" s="37">
        <v>0.59</v>
      </c>
      <c r="E105" s="42" t="e">
        <f>$P$8*0.95</f>
        <v>#VALUE!</v>
      </c>
    </row>
    <row r="106" spans="1:5" x14ac:dyDescent="0.25">
      <c r="A106" s="41">
        <v>43637</v>
      </c>
      <c r="B106" s="37">
        <v>0.53</v>
      </c>
      <c r="C106" s="42" t="e">
        <f>$O$8*0.79</f>
        <v>#VALUE!</v>
      </c>
      <c r="D106" s="37">
        <v>0.59</v>
      </c>
      <c r="E106" s="42" t="e">
        <f>$P$8*0.94</f>
        <v>#VALUE!</v>
      </c>
    </row>
    <row r="107" spans="1:5" x14ac:dyDescent="0.25">
      <c r="A107" s="41">
        <v>43638</v>
      </c>
      <c r="B107" s="37">
        <v>0.53</v>
      </c>
      <c r="C107" s="42" t="e">
        <f>$O$8*0.78</f>
        <v>#VALUE!</v>
      </c>
      <c r="D107" s="37">
        <v>0.59</v>
      </c>
      <c r="E107" s="42" t="e">
        <f>$P$8*0.93</f>
        <v>#VALUE!</v>
      </c>
    </row>
    <row r="108" spans="1:5" x14ac:dyDescent="0.25">
      <c r="A108" s="41">
        <v>43639</v>
      </c>
      <c r="B108" s="37">
        <v>0.53</v>
      </c>
      <c r="C108" s="42" t="e">
        <f>$O$8*0.77</f>
        <v>#VALUE!</v>
      </c>
      <c r="D108" s="37">
        <v>0.59</v>
      </c>
      <c r="E108" s="42" t="e">
        <f>$P$8*0.92</f>
        <v>#VALUE!</v>
      </c>
    </row>
    <row r="109" spans="1:5" x14ac:dyDescent="0.25">
      <c r="A109" s="41">
        <v>43640</v>
      </c>
      <c r="B109" s="37">
        <v>0.53</v>
      </c>
      <c r="C109" s="42" t="e">
        <f>$O$8*0.76</f>
        <v>#VALUE!</v>
      </c>
      <c r="D109" s="37">
        <v>0.59</v>
      </c>
      <c r="E109" s="42" t="e">
        <f>$P$8*0.91</f>
        <v>#VALUE!</v>
      </c>
    </row>
    <row r="110" spans="1:5" x14ac:dyDescent="0.25">
      <c r="A110" s="41">
        <v>43641</v>
      </c>
      <c r="B110" s="37">
        <v>0.53</v>
      </c>
      <c r="C110" s="42" t="e">
        <f>$O$8*0.75</f>
        <v>#VALUE!</v>
      </c>
      <c r="D110" s="37">
        <v>0.59</v>
      </c>
      <c r="E110" s="42" t="e">
        <f>$P$8*0.9</f>
        <v>#VALUE!</v>
      </c>
    </row>
    <row r="111" spans="1:5" x14ac:dyDescent="0.25">
      <c r="A111" s="41">
        <v>43642</v>
      </c>
      <c r="B111" s="37">
        <v>0.53</v>
      </c>
      <c r="C111" s="42" t="e">
        <f>$O$8*0.55</f>
        <v>#VALUE!</v>
      </c>
      <c r="D111" s="37">
        <v>0.59</v>
      </c>
      <c r="E111" s="42" t="e">
        <f>$P$8*0.89</f>
        <v>#VALUE!</v>
      </c>
    </row>
    <row r="112" spans="1:5" x14ac:dyDescent="0.25">
      <c r="A112" s="41">
        <v>43643</v>
      </c>
      <c r="D112" s="37">
        <v>0.45</v>
      </c>
      <c r="E112" s="42" t="e">
        <f>$P$8*0.88</f>
        <v>#VALUE!</v>
      </c>
    </row>
    <row r="113" spans="1:5" x14ac:dyDescent="0.25">
      <c r="A113" s="41">
        <v>43644</v>
      </c>
      <c r="D113" s="37">
        <v>0.45</v>
      </c>
      <c r="E113" s="42" t="e">
        <f>$P$8*0.87</f>
        <v>#VALUE!</v>
      </c>
    </row>
    <row r="114" spans="1:5" x14ac:dyDescent="0.25">
      <c r="A114" s="41">
        <v>43645</v>
      </c>
      <c r="D114" s="37">
        <v>0.45</v>
      </c>
      <c r="E114" s="42" t="e">
        <f>$P$8*0.86</f>
        <v>#VALUE!</v>
      </c>
    </row>
    <row r="115" spans="1:5" x14ac:dyDescent="0.25">
      <c r="A115" s="41">
        <v>43646</v>
      </c>
      <c r="D115" s="37">
        <v>0.45</v>
      </c>
      <c r="E115" s="42" t="e">
        <f>$P$8*0.85</f>
        <v>#VALUE!</v>
      </c>
    </row>
    <row r="116" spans="1:5" x14ac:dyDescent="0.25">
      <c r="A116" s="41">
        <v>43647</v>
      </c>
      <c r="D116" s="37">
        <v>0.45</v>
      </c>
      <c r="E116" s="42" t="e">
        <f>$P$8*0.84</f>
        <v>#VALUE!</v>
      </c>
    </row>
    <row r="117" spans="1:5" x14ac:dyDescent="0.25">
      <c r="A117" s="41">
        <v>43648</v>
      </c>
      <c r="D117" s="37">
        <v>0.45</v>
      </c>
      <c r="E117" s="42" t="e">
        <f>$P$8*0.83</f>
        <v>#VALUE!</v>
      </c>
    </row>
    <row r="118" spans="1:5" x14ac:dyDescent="0.25">
      <c r="A118" s="41">
        <v>43649</v>
      </c>
      <c r="D118" s="37">
        <v>0.45</v>
      </c>
      <c r="E118" s="42" t="e">
        <f>$P$8*0.82</f>
        <v>#VALUE!</v>
      </c>
    </row>
    <row r="119" spans="1:5" x14ac:dyDescent="0.25">
      <c r="A119" s="41">
        <v>43650</v>
      </c>
      <c r="D119" s="37">
        <v>0.45</v>
      </c>
      <c r="E119" s="42" t="e">
        <f>$P$8*0.81</f>
        <v>#VALUE!</v>
      </c>
    </row>
    <row r="120" spans="1:5" x14ac:dyDescent="0.25">
      <c r="A120" s="41">
        <v>43651</v>
      </c>
      <c r="D120" s="37">
        <v>0.45</v>
      </c>
      <c r="E120" s="42" t="e">
        <f>$P$8*0.8</f>
        <v>#VALUE!</v>
      </c>
    </row>
    <row r="121" spans="1:5" x14ac:dyDescent="0.25">
      <c r="A121" s="41">
        <v>43652</v>
      </c>
      <c r="D121" s="37">
        <v>0.45</v>
      </c>
      <c r="E121" s="42" t="e">
        <f>$P$8*0.79</f>
        <v>#VALUE!</v>
      </c>
    </row>
    <row r="122" spans="1:5" x14ac:dyDescent="0.25">
      <c r="A122" s="41">
        <v>43653</v>
      </c>
      <c r="D122" s="37">
        <v>0.45</v>
      </c>
      <c r="E122" s="42" t="e">
        <f>$P$8*0.78</f>
        <v>#VALUE!</v>
      </c>
    </row>
    <row r="123" spans="1:5" x14ac:dyDescent="0.25">
      <c r="A123" s="41">
        <v>43654</v>
      </c>
      <c r="D123" s="37">
        <v>0.45</v>
      </c>
      <c r="E123" s="42" t="e">
        <f>$P$8*0.77</f>
        <v>#VALUE!</v>
      </c>
    </row>
    <row r="124" spans="1:5" x14ac:dyDescent="0.25">
      <c r="A124" s="41">
        <v>43655</v>
      </c>
      <c r="D124" s="37">
        <v>0.45</v>
      </c>
      <c r="E124" s="42" t="e">
        <f>$P$8*0.76</f>
        <v>#VALUE!</v>
      </c>
    </row>
    <row r="125" spans="1:5" x14ac:dyDescent="0.25">
      <c r="A125" s="41">
        <v>43656</v>
      </c>
      <c r="D125" s="37">
        <v>0.45</v>
      </c>
      <c r="E125" s="42" t="e">
        <f>$P$8*0.75</f>
        <v>#VALUE!</v>
      </c>
    </row>
    <row r="126" spans="1:5" x14ac:dyDescent="0.25">
      <c r="A126" s="41">
        <v>43657</v>
      </c>
      <c r="D126" s="37">
        <v>0.45</v>
      </c>
      <c r="E126" s="42" t="e">
        <f>$P$8*0.6</f>
        <v>#VALUE!</v>
      </c>
    </row>
    <row r="127" spans="1:5" x14ac:dyDescent="0.25">
      <c r="A127" s="39"/>
    </row>
    <row r="128" spans="1:5" x14ac:dyDescent="0.25">
      <c r="A128" s="39"/>
    </row>
    <row r="129" spans="1:5" x14ac:dyDescent="0.25">
      <c r="A129" s="39"/>
    </row>
    <row r="130" spans="1:5" x14ac:dyDescent="0.25">
      <c r="A130" s="39"/>
    </row>
    <row r="131" spans="1:5" x14ac:dyDescent="0.25">
      <c r="A131" s="39"/>
      <c r="B131" s="39"/>
      <c r="D131" s="39" t="s">
        <v>65</v>
      </c>
      <c r="E131" s="39" t="s">
        <v>66</v>
      </c>
    </row>
    <row r="132" spans="1:5" x14ac:dyDescent="0.25">
      <c r="A132" s="41"/>
      <c r="B132" s="41"/>
      <c r="C132" s="42"/>
      <c r="D132" s="41">
        <v>43617</v>
      </c>
      <c r="E132" s="41">
        <v>43632</v>
      </c>
    </row>
    <row r="133" spans="1:5" x14ac:dyDescent="0.25">
      <c r="A133" s="41"/>
      <c r="B133" s="41"/>
      <c r="C133" s="42"/>
      <c r="D133" s="41">
        <v>43618</v>
      </c>
      <c r="E133" s="41">
        <v>43633</v>
      </c>
    </row>
    <row r="134" spans="1:5" x14ac:dyDescent="0.25">
      <c r="A134" s="41"/>
      <c r="B134" s="41"/>
      <c r="C134" s="42"/>
      <c r="D134" s="41">
        <v>43619</v>
      </c>
      <c r="E134" s="41">
        <v>43634</v>
      </c>
    </row>
    <row r="135" spans="1:5" x14ac:dyDescent="0.25">
      <c r="A135" s="41"/>
      <c r="B135" s="41"/>
      <c r="C135" s="42"/>
      <c r="D135" s="41">
        <v>43620</v>
      </c>
      <c r="E135" s="41">
        <v>43635</v>
      </c>
    </row>
    <row r="136" spans="1:5" x14ac:dyDescent="0.25">
      <c r="A136" s="41"/>
      <c r="B136" s="41"/>
      <c r="C136" s="42"/>
      <c r="D136" s="41">
        <v>43621</v>
      </c>
      <c r="E136" s="41">
        <v>43636</v>
      </c>
    </row>
    <row r="137" spans="1:5" x14ac:dyDescent="0.25">
      <c r="A137" s="41"/>
      <c r="B137" s="41"/>
      <c r="C137" s="42"/>
      <c r="D137" s="41">
        <v>43622</v>
      </c>
      <c r="E137" s="41">
        <v>43637</v>
      </c>
    </row>
    <row r="138" spans="1:5" x14ac:dyDescent="0.25">
      <c r="A138" s="41"/>
      <c r="B138" s="41"/>
      <c r="C138" s="42"/>
      <c r="D138" s="41">
        <v>43623</v>
      </c>
      <c r="E138" s="41">
        <v>43638</v>
      </c>
    </row>
    <row r="139" spans="1:5" x14ac:dyDescent="0.25">
      <c r="A139" s="41"/>
      <c r="B139" s="41"/>
      <c r="C139" s="42"/>
      <c r="D139" s="41">
        <v>43624</v>
      </c>
      <c r="E139" s="41">
        <v>43639</v>
      </c>
    </row>
    <row r="140" spans="1:5" x14ac:dyDescent="0.25">
      <c r="A140" s="41"/>
      <c r="B140" s="41"/>
      <c r="C140" s="42"/>
      <c r="D140" s="41">
        <v>43625</v>
      </c>
      <c r="E140" s="41">
        <v>43640</v>
      </c>
    </row>
    <row r="141" spans="1:5" x14ac:dyDescent="0.25">
      <c r="A141" s="41"/>
      <c r="B141" s="41"/>
      <c r="C141" s="42"/>
      <c r="D141" s="41">
        <v>43626</v>
      </c>
      <c r="E141" s="41">
        <v>43641</v>
      </c>
    </row>
    <row r="142" spans="1:5" x14ac:dyDescent="0.25">
      <c r="A142" s="41"/>
      <c r="B142" s="41"/>
      <c r="C142" s="42"/>
      <c r="D142" s="41">
        <v>43627</v>
      </c>
      <c r="E142" s="41">
        <v>43642</v>
      </c>
    </row>
    <row r="143" spans="1:5" x14ac:dyDescent="0.25">
      <c r="A143" s="41"/>
      <c r="B143" s="41"/>
      <c r="C143" s="42"/>
      <c r="D143" s="41">
        <v>43628</v>
      </c>
      <c r="E143" s="41">
        <v>43643</v>
      </c>
    </row>
    <row r="144" spans="1:5" x14ac:dyDescent="0.25">
      <c r="A144" s="41"/>
      <c r="B144" s="41"/>
      <c r="C144" s="42"/>
      <c r="D144" s="41">
        <v>43629</v>
      </c>
      <c r="E144" s="41">
        <v>43644</v>
      </c>
    </row>
    <row r="145" spans="1:5" x14ac:dyDescent="0.25">
      <c r="A145" s="41"/>
      <c r="B145" s="41"/>
      <c r="C145" s="42"/>
      <c r="D145" s="41">
        <v>43630</v>
      </c>
      <c r="E145" s="41">
        <v>43645</v>
      </c>
    </row>
    <row r="146" spans="1:5" x14ac:dyDescent="0.25">
      <c r="A146" s="41"/>
      <c r="B146" s="41"/>
      <c r="C146" s="42"/>
      <c r="D146" s="41">
        <v>43631</v>
      </c>
      <c r="E146" s="41">
        <v>43646</v>
      </c>
    </row>
    <row r="147" spans="1:5" x14ac:dyDescent="0.25">
      <c r="A147" s="41"/>
      <c r="B147" s="41"/>
      <c r="C147" s="42"/>
      <c r="D147" s="41">
        <v>43632</v>
      </c>
      <c r="E147" s="41">
        <v>43647</v>
      </c>
    </row>
    <row r="148" spans="1:5" x14ac:dyDescent="0.25">
      <c r="A148" s="41"/>
      <c r="B148" s="41"/>
      <c r="C148" s="42"/>
      <c r="D148" s="41">
        <v>43633</v>
      </c>
      <c r="E148" s="41">
        <v>43648</v>
      </c>
    </row>
    <row r="149" spans="1:5" x14ac:dyDescent="0.25">
      <c r="A149" s="41"/>
      <c r="B149" s="41"/>
      <c r="C149" s="42"/>
      <c r="D149" s="41">
        <v>43634</v>
      </c>
      <c r="E149" s="41">
        <v>43649</v>
      </c>
    </row>
    <row r="150" spans="1:5" x14ac:dyDescent="0.25">
      <c r="A150" s="41"/>
      <c r="B150" s="41"/>
      <c r="C150" s="42"/>
      <c r="D150" s="41">
        <v>43635</v>
      </c>
      <c r="E150" s="41">
        <v>43650</v>
      </c>
    </row>
    <row r="151" spans="1:5" x14ac:dyDescent="0.25">
      <c r="A151" s="41"/>
      <c r="B151" s="41"/>
      <c r="C151" s="42"/>
      <c r="D151" s="41">
        <v>43636</v>
      </c>
      <c r="E151" s="41">
        <v>43651</v>
      </c>
    </row>
    <row r="152" spans="1:5" x14ac:dyDescent="0.25">
      <c r="A152" s="41"/>
      <c r="B152" s="41"/>
      <c r="C152" s="42"/>
      <c r="D152" s="41">
        <v>43637</v>
      </c>
      <c r="E152" s="41">
        <v>43652</v>
      </c>
    </row>
    <row r="153" spans="1:5" x14ac:dyDescent="0.25">
      <c r="A153" s="41"/>
      <c r="B153" s="41"/>
      <c r="C153" s="42"/>
      <c r="D153" s="41">
        <v>43638</v>
      </c>
      <c r="E153" s="41">
        <v>43653</v>
      </c>
    </row>
    <row r="154" spans="1:5" x14ac:dyDescent="0.25">
      <c r="A154" s="41"/>
      <c r="B154" s="41"/>
      <c r="C154" s="42"/>
      <c r="D154" s="41">
        <v>43639</v>
      </c>
      <c r="E154" s="41">
        <v>43654</v>
      </c>
    </row>
    <row r="155" spans="1:5" x14ac:dyDescent="0.25">
      <c r="A155" s="41"/>
      <c r="B155" s="41"/>
      <c r="C155" s="42"/>
      <c r="D155" s="41">
        <v>43640</v>
      </c>
      <c r="E155" s="41">
        <v>43655</v>
      </c>
    </row>
    <row r="156" spans="1:5" x14ac:dyDescent="0.25">
      <c r="A156" s="41"/>
      <c r="B156" s="41"/>
      <c r="C156" s="42"/>
      <c r="D156" s="41">
        <v>43641</v>
      </c>
      <c r="E156" s="41">
        <v>43656</v>
      </c>
    </row>
    <row r="157" spans="1:5" x14ac:dyDescent="0.25">
      <c r="A157" s="41"/>
      <c r="B157" s="41"/>
      <c r="C157" s="42"/>
      <c r="D157" s="41">
        <v>43642</v>
      </c>
      <c r="E157" s="41">
        <v>43657</v>
      </c>
    </row>
    <row r="158" spans="1:5" x14ac:dyDescent="0.25">
      <c r="A158" s="39"/>
      <c r="C158" s="42"/>
      <c r="D158" s="39"/>
    </row>
    <row r="159" spans="1:5" x14ac:dyDescent="0.25">
      <c r="A159" s="39"/>
      <c r="C159" s="42"/>
    </row>
    <row r="160" spans="1:5" x14ac:dyDescent="0.25">
      <c r="A160" s="39"/>
      <c r="C160" s="42"/>
    </row>
    <row r="161" spans="1:3" x14ac:dyDescent="0.25">
      <c r="A161" s="39"/>
      <c r="C161" s="42"/>
    </row>
    <row r="162" spans="1:3" x14ac:dyDescent="0.25">
      <c r="A162" s="39"/>
      <c r="C162" s="42"/>
    </row>
    <row r="163" spans="1:3" x14ac:dyDescent="0.25">
      <c r="A163" s="39"/>
      <c r="C163" s="42"/>
    </row>
    <row r="164" spans="1:3" x14ac:dyDescent="0.25">
      <c r="A164" s="39"/>
      <c r="C164" s="42"/>
    </row>
    <row r="165" spans="1:3" x14ac:dyDescent="0.25">
      <c r="A165" s="39"/>
      <c r="C165" s="42"/>
    </row>
    <row r="166" spans="1:3" x14ac:dyDescent="0.25">
      <c r="A166" s="39"/>
      <c r="C166" s="42"/>
    </row>
    <row r="167" spans="1:3" x14ac:dyDescent="0.25">
      <c r="A167" s="39"/>
      <c r="C167" s="42"/>
    </row>
    <row r="168" spans="1:3" x14ac:dyDescent="0.25">
      <c r="A168" s="39"/>
      <c r="C168" s="42"/>
    </row>
    <row r="169" spans="1:3" x14ac:dyDescent="0.25">
      <c r="A169" s="39"/>
      <c r="C169" s="42"/>
    </row>
    <row r="170" spans="1:3" x14ac:dyDescent="0.25">
      <c r="A170" s="39"/>
      <c r="C170" s="42"/>
    </row>
    <row r="171" spans="1:3" x14ac:dyDescent="0.25">
      <c r="A171" s="39"/>
      <c r="C171" s="42"/>
    </row>
    <row r="172" spans="1:3" x14ac:dyDescent="0.25">
      <c r="A172" s="39"/>
      <c r="C172" s="42"/>
    </row>
    <row r="173" spans="1:3" x14ac:dyDescent="0.25">
      <c r="A173" s="39"/>
      <c r="C173" s="42"/>
    </row>
    <row r="174" spans="1:3" x14ac:dyDescent="0.25">
      <c r="A174" s="39"/>
      <c r="C174" s="42"/>
    </row>
    <row r="175" spans="1:3" x14ac:dyDescent="0.25">
      <c r="A175" s="39"/>
      <c r="C175" s="42"/>
    </row>
    <row r="176" spans="1:3" x14ac:dyDescent="0.25">
      <c r="A176" s="39"/>
      <c r="C176" s="42"/>
    </row>
    <row r="177" spans="1:3" x14ac:dyDescent="0.25">
      <c r="A177" s="39"/>
      <c r="C177" s="42"/>
    </row>
    <row r="178" spans="1:3" x14ac:dyDescent="0.25">
      <c r="C178" s="42"/>
    </row>
    <row r="179" spans="1:3" x14ac:dyDescent="0.25">
      <c r="C179" s="42"/>
    </row>
    <row r="180" spans="1:3" x14ac:dyDescent="0.25">
      <c r="C180" s="42"/>
    </row>
    <row r="181" spans="1:3" x14ac:dyDescent="0.25">
      <c r="C181" s="42"/>
    </row>
    <row r="182" spans="1:3" x14ac:dyDescent="0.25">
      <c r="C182" s="42"/>
    </row>
    <row r="183" spans="1:3" x14ac:dyDescent="0.25">
      <c r="C183" s="42"/>
    </row>
    <row r="184" spans="1:3" x14ac:dyDescent="0.25">
      <c r="C184" s="42"/>
    </row>
    <row r="185" spans="1:3" x14ac:dyDescent="0.25">
      <c r="C185" s="42"/>
    </row>
    <row r="186" spans="1:3" x14ac:dyDescent="0.25">
      <c r="C186" s="42"/>
    </row>
    <row r="187" spans="1:3" x14ac:dyDescent="0.25">
      <c r="C187" s="42"/>
    </row>
    <row r="188" spans="1:3" x14ac:dyDescent="0.25">
      <c r="C188" s="42"/>
    </row>
    <row r="189" spans="1:3" x14ac:dyDescent="0.25">
      <c r="C189" s="42"/>
    </row>
    <row r="190" spans="1:3" x14ac:dyDescent="0.25">
      <c r="C190" s="42"/>
    </row>
    <row r="191" spans="1:3" x14ac:dyDescent="0.25">
      <c r="C191" s="42"/>
    </row>
    <row r="192" spans="1:3" x14ac:dyDescent="0.25">
      <c r="C192" s="42"/>
    </row>
    <row r="193" spans="3:3" x14ac:dyDescent="0.25">
      <c r="C193" s="42"/>
    </row>
    <row r="194" spans="3:3" x14ac:dyDescent="0.25">
      <c r="C194" s="42"/>
    </row>
    <row r="195" spans="3:3" x14ac:dyDescent="0.25">
      <c r="C195" s="42"/>
    </row>
    <row r="196" spans="3:3" x14ac:dyDescent="0.25">
      <c r="C196" s="42"/>
    </row>
    <row r="197" spans="3:3" x14ac:dyDescent="0.25">
      <c r="C197" s="42"/>
    </row>
    <row r="198" spans="3:3" x14ac:dyDescent="0.25">
      <c r="C198" s="42"/>
    </row>
    <row r="199" spans="3:3" x14ac:dyDescent="0.25">
      <c r="C199" s="42"/>
    </row>
  </sheetData>
  <sheetProtection algorithmName="SHA-512" hashValue="LeGAmNXl3L4gcoOQaua/kOYGmgu+GkhXkg1RITqBcUEmEVZ0CPzZIJh+Cpg/F8z1PBzKU99okBQTETuTWIGybQ==" saltValue="zX4oY29WkPmeXRAdbtpsUQ==" spinCount="100000" sheet="1" objects="1" scenarios="1" selectLockedCells="1"/>
  <mergeCells count="23">
    <mergeCell ref="J60:P60"/>
    <mergeCell ref="J61:P61"/>
    <mergeCell ref="J55:P55"/>
    <mergeCell ref="J56:P56"/>
    <mergeCell ref="J57:P57"/>
    <mergeCell ref="J58:P58"/>
    <mergeCell ref="J59:P59"/>
    <mergeCell ref="J71:M71"/>
    <mergeCell ref="J72:O72"/>
    <mergeCell ref="P5:P6"/>
    <mergeCell ref="O5:O6"/>
    <mergeCell ref="J20:N20"/>
    <mergeCell ref="J5:N5"/>
    <mergeCell ref="O20:O21"/>
    <mergeCell ref="P20:P21"/>
    <mergeCell ref="J62:P62"/>
    <mergeCell ref="J63:P63"/>
    <mergeCell ref="J68:O68"/>
    <mergeCell ref="J69:L69"/>
    <mergeCell ref="J70:O70"/>
    <mergeCell ref="J52:P52"/>
    <mergeCell ref="J53:P53"/>
    <mergeCell ref="J54:P54"/>
  </mergeCells>
  <dataValidations count="3">
    <dataValidation type="list" showInputMessage="1" showErrorMessage="1" sqref="O8:P8" xr:uid="{3FA297A3-6A3E-49B5-B976-4EC7CC61A504}">
      <formula1>$A$8:$A$16</formula1>
    </dataValidation>
    <dataValidation type="list" allowBlank="1" showInputMessage="1" showErrorMessage="1" sqref="O22" xr:uid="{1C31F224-A4EB-4973-B7C6-2AA977F6489C}">
      <formula1>$D$131:$D$157</formula1>
    </dataValidation>
    <dataValidation type="list" allowBlank="1" showInputMessage="1" showErrorMessage="1" sqref="P22" xr:uid="{E9E9D15A-A614-41B8-AC61-2EBCEBF9B1C1}">
      <formula1>$E$131:$E$157</formula1>
    </dataValidation>
  </dataValidations>
  <hyperlinks>
    <hyperlink ref="A17" r:id="rId1" xr:uid="{BBE57150-F31F-4E88-80D2-4476E6B190C5}"/>
    <hyperlink ref="A25" r:id="rId2" xr:uid="{C6EC5F14-0555-476B-94E5-9A6EB63E24CB}"/>
    <hyperlink ref="A33" r:id="rId3" xr:uid="{7A1A6E07-5B54-4B87-AF7A-9778D2FAA22F}"/>
  </hyperlinks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Prevented Planting Tool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Mandt</dc:creator>
  <cp:lastModifiedBy>Chris Mandt</cp:lastModifiedBy>
  <cp:lastPrinted>2019-04-04T21:22:25Z</cp:lastPrinted>
  <dcterms:created xsi:type="dcterms:W3CDTF">2019-04-03T18:45:57Z</dcterms:created>
  <dcterms:modified xsi:type="dcterms:W3CDTF">2019-06-04T15:43:18Z</dcterms:modified>
</cp:coreProperties>
</file>